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O:\DOCUMENTOS 2022\01- PREGÃO ELETRÔNICO\RELATÓRIO DOS PREGOEIROS\PE 075 2022 - Ideuzete\"/>
    </mc:Choice>
  </mc:AlternateContent>
  <xr:revisionPtr revIDLastSave="0" documentId="8_{63F7D2C0-BE5D-409D-91ED-599BB0214715}" xr6:coauthVersionLast="47" xr6:coauthVersionMax="47" xr10:uidLastSave="{00000000-0000-0000-0000-000000000000}"/>
  <bookViews>
    <workbookView xWindow="-120" yWindow="-120" windowWidth="29040" windowHeight="15840" tabRatio="957" activeTab="2" xr2:uid="{00000000-000D-0000-FFFF-FFFF00000000}"/>
  </bookViews>
  <sheets>
    <sheet name="Resumo Total" sheetId="10" r:id="rId1"/>
    <sheet name="Motorista" sheetId="1" r:id="rId2"/>
    <sheet name="Serviços Gerais" sheetId="14" r:id="rId3"/>
    <sheet name="Operador de Caldeira" sheetId="15" r:id="rId4"/>
    <sheet name="Auxiliar de Serviços Gerais" sheetId="16" r:id="rId5"/>
    <sheet name="Coordenador Comercial" sheetId="17" r:id="rId6"/>
    <sheet name="Eng. Sanitarista" sheetId="18" r:id="rId7"/>
    <sheet name="Assist. Juridico" sheetId="19" r:id="rId8"/>
    <sheet name="Caminhão Coleta" sheetId="2" r:id="rId9"/>
    <sheet name="Caminhão Disp. Fin (2)" sheetId="20" r:id="rId10"/>
    <sheet name="Usina de Tratamento" sheetId="9" r:id="rId11"/>
    <sheet name="Aterro e Descarte" sheetId="11" r:id="rId12"/>
    <sheet name="base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0" l="1"/>
  <c r="D12" i="2"/>
  <c r="D7" i="9" l="1"/>
  <c r="D32" i="1" l="1"/>
  <c r="D10" i="20" l="1"/>
  <c r="D14" i="2"/>
  <c r="D10" i="2"/>
  <c r="D15" i="20" l="1"/>
  <c r="D17" i="20" s="1"/>
  <c r="B17" i="10" s="1"/>
  <c r="D17" i="10" s="1"/>
  <c r="D9" i="9" l="1"/>
  <c r="D12" i="9" s="1"/>
  <c r="B18" i="10" s="1"/>
  <c r="D18" i="10" s="1"/>
  <c r="D6" i="11"/>
  <c r="D8" i="11" s="1"/>
  <c r="D5" i="11"/>
  <c r="D15" i="2"/>
  <c r="D17" i="2" s="1"/>
  <c r="B16" i="10" s="1"/>
  <c r="D35" i="19"/>
  <c r="D36" i="19" s="1"/>
  <c r="D144" i="19" s="1"/>
  <c r="D158" i="19" s="1"/>
  <c r="D32" i="19"/>
  <c r="D81" i="19"/>
  <c r="D79" i="19"/>
  <c r="D76" i="19"/>
  <c r="D74" i="19"/>
  <c r="D68" i="19"/>
  <c r="D66" i="19"/>
  <c r="D64" i="19"/>
  <c r="D62" i="19"/>
  <c r="D60" i="19"/>
  <c r="D58" i="19"/>
  <c r="D56" i="19"/>
  <c r="D54" i="19"/>
  <c r="D50" i="19"/>
  <c r="D29" i="19"/>
  <c r="D19" i="19"/>
  <c r="D83" i="18"/>
  <c r="D70" i="18"/>
  <c r="D50" i="18"/>
  <c r="D35" i="18"/>
  <c r="D34" i="18"/>
  <c r="D33" i="18"/>
  <c r="D29" i="18"/>
  <c r="D19" i="18"/>
  <c r="D81" i="17"/>
  <c r="D79" i="17"/>
  <c r="D76" i="17"/>
  <c r="D74" i="17"/>
  <c r="D68" i="17"/>
  <c r="D66" i="17"/>
  <c r="D64" i="17"/>
  <c r="D62" i="17"/>
  <c r="D60" i="17"/>
  <c r="D58" i="17"/>
  <c r="D56" i="17"/>
  <c r="D54" i="17"/>
  <c r="D50" i="17"/>
  <c r="D35" i="17"/>
  <c r="D34" i="17"/>
  <c r="D33" i="17"/>
  <c r="D32" i="17"/>
  <c r="D29" i="17"/>
  <c r="D19" i="17"/>
  <c r="D81" i="16"/>
  <c r="D79" i="16"/>
  <c r="D76" i="16"/>
  <c r="D74" i="16"/>
  <c r="D68" i="16"/>
  <c r="D66" i="16"/>
  <c r="D64" i="16"/>
  <c r="D62" i="16"/>
  <c r="D60" i="16"/>
  <c r="D58" i="16"/>
  <c r="D56" i="16"/>
  <c r="D54" i="16"/>
  <c r="D47" i="16"/>
  <c r="D42" i="16"/>
  <c r="D35" i="16"/>
  <c r="D34" i="16"/>
  <c r="D33" i="16"/>
  <c r="D32" i="16"/>
  <c r="D23" i="16"/>
  <c r="D22" i="16"/>
  <c r="D19" i="16"/>
  <c r="D81" i="15"/>
  <c r="D79" i="15"/>
  <c r="D76" i="15"/>
  <c r="D74" i="15"/>
  <c r="D68" i="15"/>
  <c r="D66" i="15"/>
  <c r="D64" i="15"/>
  <c r="D62" i="15"/>
  <c r="D60" i="15"/>
  <c r="D58" i="15"/>
  <c r="D56" i="15"/>
  <c r="D54" i="15"/>
  <c r="D35" i="15"/>
  <c r="D34" i="15"/>
  <c r="D33" i="15"/>
  <c r="D32" i="15"/>
  <c r="D29" i="15"/>
  <c r="D19" i="15"/>
  <c r="D34" i="14"/>
  <c r="D33" i="14"/>
  <c r="D32" i="14"/>
  <c r="D81" i="14"/>
  <c r="D79" i="14"/>
  <c r="D76" i="14"/>
  <c r="D74" i="14"/>
  <c r="D68" i="14"/>
  <c r="D66" i="14"/>
  <c r="D64" i="14"/>
  <c r="D62" i="14"/>
  <c r="D60" i="14"/>
  <c r="D58" i="14"/>
  <c r="D56" i="14"/>
  <c r="D54" i="14"/>
  <c r="D35" i="14"/>
  <c r="D29" i="14"/>
  <c r="D19" i="14"/>
  <c r="D19" i="1"/>
  <c r="D81" i="1"/>
  <c r="D79" i="1"/>
  <c r="D76" i="1"/>
  <c r="D74" i="1"/>
  <c r="D64" i="1"/>
  <c r="D62" i="1"/>
  <c r="D60" i="1"/>
  <c r="D58" i="1"/>
  <c r="D56" i="1"/>
  <c r="D66" i="1"/>
  <c r="D68" i="1"/>
  <c r="D54" i="1"/>
  <c r="D35" i="1"/>
  <c r="D34" i="1"/>
  <c r="D33" i="1"/>
  <c r="D29" i="1"/>
  <c r="D29" i="16" l="1"/>
  <c r="D142" i="16" s="1"/>
  <c r="D157" i="16" s="1"/>
  <c r="D36" i="1"/>
  <c r="D144" i="1" s="1"/>
  <c r="D158" i="1" s="1"/>
  <c r="D36" i="18"/>
  <c r="D144" i="18" s="1"/>
  <c r="D158" i="18" s="1"/>
  <c r="D36" i="15"/>
  <c r="D144" i="15" s="1"/>
  <c r="D158" i="15" s="1"/>
  <c r="D36" i="17"/>
  <c r="D144" i="17" s="1"/>
  <c r="D158" i="17" s="1"/>
  <c r="D70" i="19"/>
  <c r="D36" i="16"/>
  <c r="D144" i="16" s="1"/>
  <c r="D158" i="16" s="1"/>
  <c r="D142" i="18"/>
  <c r="D157" i="18" s="1"/>
  <c r="D83" i="19"/>
  <c r="D50" i="16"/>
  <c r="D70" i="16"/>
  <c r="D83" i="16"/>
  <c r="D50" i="14"/>
  <c r="D50" i="1"/>
  <c r="D142" i="14"/>
  <c r="D157" i="14" s="1"/>
  <c r="D70" i="15"/>
  <c r="D142" i="19"/>
  <c r="D157" i="19" s="1"/>
  <c r="D142" i="15"/>
  <c r="D157" i="15" s="1"/>
  <c r="D36" i="14"/>
  <c r="D144" i="14" s="1"/>
  <c r="D158" i="14" s="1"/>
  <c r="D83" i="15"/>
  <c r="D70" i="14"/>
  <c r="D83" i="14"/>
  <c r="D50" i="15"/>
  <c r="D70" i="17"/>
  <c r="D83" i="17"/>
  <c r="D7" i="11"/>
  <c r="D142" i="1"/>
  <c r="D157" i="1" s="1"/>
  <c r="D70" i="1"/>
  <c r="D83" i="1"/>
  <c r="D16" i="10"/>
  <c r="D103" i="19"/>
  <c r="D95" i="18"/>
  <c r="D142" i="17"/>
  <c r="D157" i="17" s="1"/>
  <c r="D95" i="16" l="1"/>
  <c r="D143" i="16" s="1"/>
  <c r="D160" i="16" s="1"/>
  <c r="D95" i="17"/>
  <c r="D143" i="17" s="1"/>
  <c r="D160" i="17" s="1"/>
  <c r="D143" i="15"/>
  <c r="D160" i="15" s="1"/>
  <c r="D143" i="14"/>
  <c r="D160" i="14" s="1"/>
  <c r="D103" i="1"/>
  <c r="D103" i="17"/>
  <c r="D108" i="17" s="1"/>
  <c r="D143" i="19"/>
  <c r="D160" i="19" s="1"/>
  <c r="D9" i="11"/>
  <c r="D10" i="11"/>
  <c r="D11" i="11" s="1"/>
  <c r="B19" i="10" s="1"/>
  <c r="D19" i="10" s="1"/>
  <c r="D20" i="10" s="1"/>
  <c r="D143" i="1"/>
  <c r="D145" i="19"/>
  <c r="D108" i="19"/>
  <c r="D119" i="19"/>
  <c r="D114" i="19"/>
  <c r="D143" i="18"/>
  <c r="D103" i="18"/>
  <c r="D145" i="16" l="1"/>
  <c r="D103" i="16"/>
  <c r="D114" i="16"/>
  <c r="D114" i="17"/>
  <c r="D119" i="17"/>
  <c r="D145" i="17"/>
  <c r="D145" i="15"/>
  <c r="D103" i="15"/>
  <c r="D119" i="15" s="1"/>
  <c r="D103" i="14"/>
  <c r="D145" i="14"/>
  <c r="D160" i="1"/>
  <c r="D145" i="1"/>
  <c r="D119" i="1"/>
  <c r="D108" i="1"/>
  <c r="D114" i="1"/>
  <c r="D120" i="19"/>
  <c r="D114" i="18"/>
  <c r="D108" i="18"/>
  <c r="D119" i="18"/>
  <c r="D160" i="18"/>
  <c r="D145" i="18"/>
  <c r="D120" i="17"/>
  <c r="D119" i="16" l="1"/>
  <c r="D120" i="16" s="1"/>
  <c r="D129" i="16" s="1"/>
  <c r="D108" i="16"/>
  <c r="D120" i="18"/>
  <c r="D129" i="18" s="1"/>
  <c r="D114" i="15"/>
  <c r="D120" i="15" s="1"/>
  <c r="D129" i="15" s="1"/>
  <c r="D108" i="15"/>
  <c r="D114" i="14"/>
  <c r="D119" i="14"/>
  <c r="D108" i="14"/>
  <c r="D120" i="1"/>
  <c r="D129" i="1" s="1"/>
  <c r="D127" i="19"/>
  <c r="D128" i="19"/>
  <c r="D132" i="19"/>
  <c r="D129" i="19"/>
  <c r="D128" i="18"/>
  <c r="D127" i="18"/>
  <c r="D132" i="18"/>
  <c r="D132" i="17"/>
  <c r="D129" i="17"/>
  <c r="D128" i="17"/>
  <c r="D127" i="17"/>
  <c r="D127" i="16" l="1"/>
  <c r="D132" i="16"/>
  <c r="D128" i="16"/>
  <c r="D134" i="16"/>
  <c r="D159" i="16" s="1"/>
  <c r="D161" i="16" s="1"/>
  <c r="D162" i="16" s="1"/>
  <c r="D132" i="15"/>
  <c r="D127" i="15"/>
  <c r="D128" i="15"/>
  <c r="D120" i="14"/>
  <c r="D127" i="1"/>
  <c r="D128" i="1"/>
  <c r="D132" i="1"/>
  <c r="D134" i="17"/>
  <c r="D159" i="17" s="1"/>
  <c r="D161" i="17" s="1"/>
  <c r="D162" i="17" s="1"/>
  <c r="D134" i="19"/>
  <c r="C134" i="19" s="1"/>
  <c r="D134" i="18"/>
  <c r="D146" i="18" s="1"/>
  <c r="C134" i="16"/>
  <c r="D146" i="16"/>
  <c r="D134" i="15" l="1"/>
  <c r="D146" i="15" s="1"/>
  <c r="D146" i="17"/>
  <c r="D164" i="17"/>
  <c r="C134" i="17"/>
  <c r="D146" i="19"/>
  <c r="D164" i="16"/>
  <c r="B7" i="10" s="1"/>
  <c r="C134" i="15"/>
  <c r="D159" i="15"/>
  <c r="D161" i="15" s="1"/>
  <c r="D162" i="15" s="1"/>
  <c r="D164" i="15" s="1"/>
  <c r="B12" i="10" s="1"/>
  <c r="D12" i="10" s="1"/>
  <c r="D129" i="14"/>
  <c r="D128" i="14"/>
  <c r="D132" i="14"/>
  <c r="D127" i="14"/>
  <c r="D134" i="1"/>
  <c r="D159" i="1" s="1"/>
  <c r="D161" i="1" s="1"/>
  <c r="D162" i="1" s="1"/>
  <c r="D163" i="1" s="1"/>
  <c r="D164" i="1" s="1"/>
  <c r="B6" i="10" s="1"/>
  <c r="D159" i="19"/>
  <c r="D161" i="19" s="1"/>
  <c r="D162" i="19" s="1"/>
  <c r="C134" i="18"/>
  <c r="D159" i="18"/>
  <c r="D161" i="18" s="1"/>
  <c r="D162" i="18" s="1"/>
  <c r="D164" i="18" l="1"/>
  <c r="B10" i="10" s="1"/>
  <c r="D10" i="10" s="1"/>
  <c r="D7" i="10"/>
  <c r="D164" i="19"/>
  <c r="B13" i="10"/>
  <c r="D13" i="10" s="1"/>
  <c r="D134" i="14"/>
  <c r="D159" i="14" s="1"/>
  <c r="D161" i="14" s="1"/>
  <c r="D162" i="14" s="1"/>
  <c r="D164" i="14" s="1"/>
  <c r="B5" i="10" s="1"/>
  <c r="D5" i="10" s="1"/>
  <c r="D146" i="1"/>
  <c r="C134" i="1"/>
  <c r="D6" i="10"/>
  <c r="D8" i="10" l="1"/>
  <c r="D14" i="10"/>
  <c r="D146" i="14"/>
  <c r="C134" i="14"/>
  <c r="D21" i="10" l="1"/>
  <c r="D25" i="10" s="1"/>
</calcChain>
</file>

<file path=xl/sharedStrings.xml><?xml version="1.0" encoding="utf-8"?>
<sst xmlns="http://schemas.openxmlformats.org/spreadsheetml/2006/main" count="1761" uniqueCount="247">
  <si>
    <t>Salário normativo de categoria profissional</t>
  </si>
  <si>
    <t>Categoria profissional (vinculada a execução contratual)</t>
  </si>
  <si>
    <t>Data base da categoria (dia/mês/ano)</t>
  </si>
  <si>
    <t xml:space="preserve">Tipo do serviço </t>
  </si>
  <si>
    <t>MÃO DE OBRA VINCULADA  A EXECUÇÃO CONTRATUAL</t>
  </si>
  <si>
    <t>QUADRO I - Dados complementares para composição de custos referente à mão de obra</t>
  </si>
  <si>
    <t>MÓDULO 1: COMPOSIÇÃO DA REMUNERAÇÃO</t>
  </si>
  <si>
    <t>A</t>
  </si>
  <si>
    <t>Salário 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</si>
  <si>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</si>
  <si>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</si>
  <si>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</si>
  <si>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</si>
  <si>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</si>
  <si>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</si>
  <si>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</si>
  <si>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Hora noturna adicional</t>
  </si>
  <si>
    <t>F</t>
  </si>
  <si>
    <t>Adicional de hora extra</t>
  </si>
  <si>
    <t>G</t>
  </si>
  <si>
    <t>Intervalo intrajornada</t>
  </si>
  <si>
    <t>H</t>
  </si>
  <si>
    <t>Outros (especificar)</t>
  </si>
  <si>
    <t>%</t>
  </si>
  <si>
    <t>Valor (R$)</t>
  </si>
  <si>
    <t>MÓDULO 2: BENEFÍCIOS MENSAIS E DIÁRIOS</t>
  </si>
  <si>
    <t>Transporte</t>
  </si>
  <si>
    <t>Auxílio Alimentação</t>
  </si>
  <si>
    <t>Assistência Médica e familiar</t>
  </si>
  <si>
    <t>Assistência odontológica Privada</t>
  </si>
  <si>
    <t>Auxílio creche</t>
  </si>
  <si>
    <t>Seguro de vida</t>
  </si>
  <si>
    <t>MÓDULO 3: INSUMOS DIVERSOS</t>
  </si>
  <si>
    <t>Uniformes</t>
  </si>
  <si>
    <t>Materiais</t>
  </si>
  <si>
    <t>Equipamentos</t>
  </si>
  <si>
    <t>Outros (Especificar)</t>
  </si>
  <si>
    <t>Total de insumos diversos</t>
  </si>
  <si>
    <t>NOTA: Valores mensais por empregado</t>
  </si>
  <si>
    <t>MÓDULO A: ENCARGOS SOCIAIS E TRABALHISTAS</t>
  </si>
  <si>
    <t>Submodelos 4.1 – Encargos Previdenciários e FGTS</t>
  </si>
  <si>
    <t>INSS</t>
  </si>
  <si>
    <t>SESI OU SESC</t>
  </si>
  <si>
    <t>SENAI OU SENAC</t>
  </si>
  <si>
    <t>INCRA</t>
  </si>
  <si>
    <t>Salário Educação</t>
  </si>
  <si>
    <t>FGTS</t>
  </si>
  <si>
    <t>Seguro Acidente de Trabalho (RAT)</t>
  </si>
  <si>
    <t>SEBRAE</t>
  </si>
  <si>
    <t>TOTAL DO GRUPO A</t>
  </si>
  <si>
    <t>GRUPO B</t>
  </si>
  <si>
    <t>Férias ( + abono constitucional (1/3 férias)) Cálculo =</t>
  </si>
  <si>
    <t>[(1+1/3)/12))] x 100 – PERCENTUAL OBRIGATÓRIO</t>
  </si>
  <si>
    <t>Auxílio doença</t>
  </si>
  <si>
    <t>Cálculo do % = [(5/30)/12)] x 100</t>
  </si>
  <si>
    <t>Licença maternidade</t>
  </si>
  <si>
    <t>Cálculo do % = [0,1111 x (4/12) x 0,02] x 100</t>
  </si>
  <si>
    <t>Licença paternidade</t>
  </si>
  <si>
    <t>Cálculo do % = [((5/30) /12) x 0,015] x 100</t>
  </si>
  <si>
    <t>Faltas legais</t>
  </si>
  <si>
    <t>Cálculo do % = [((1/30)/12)] x 100</t>
  </si>
  <si>
    <t>Acidente de trabalho</t>
  </si>
  <si>
    <t>TOTAL DO GRUPO B</t>
  </si>
  <si>
    <t>Cálculo do % = [((15/30)/12) x 0,0078] x 100</t>
  </si>
  <si>
    <t>Aviso prévio (trabalhado) (negociar extinção na prorrogação)</t>
  </si>
  <si>
    <t>13º salário</t>
  </si>
  <si>
    <t>Cálculo do % = [(1/12)] x 100 – PERCENTUAL OBRIGATÓRIO</t>
  </si>
  <si>
    <t>GRUPO C</t>
  </si>
  <si>
    <t>Aviso-prévio indenizado</t>
  </si>
  <si>
    <t>Cálculo do % = [((1/12) x 0,05)] x 100</t>
  </si>
  <si>
    <t>Indenização adicional</t>
  </si>
  <si>
    <t>Cálculo do % = [(1/12) x 0,01] x 100</t>
  </si>
  <si>
    <t>Indenização (rescisões sem justa causa)</t>
  </si>
  <si>
    <t>19.1</t>
  </si>
  <si>
    <t>TOTAL DO GRUPO C</t>
  </si>
  <si>
    <t>GRUPO D</t>
  </si>
  <si>
    <t>GRUPO E</t>
  </si>
  <si>
    <t>Incidências dos encargos do Grupo “A” sobre o item 17 do Grupo “C”</t>
  </si>
  <si>
    <t>(aviso prévio indenizado)</t>
  </si>
  <si>
    <t>VALOR DOS ENCARGOS SOCIAIS E TRABALHISTAS</t>
  </si>
  <si>
    <t>VALOR DA MÃO-DE-OBRA (REMUNERAÇÃO + ENCARGOS SOCIAIS)</t>
  </si>
  <si>
    <t>Módulo: Insumos Diversos</t>
  </si>
  <si>
    <t>Insumos Diversos</t>
  </si>
  <si>
    <t>Máquinas / Equipamentos</t>
  </si>
  <si>
    <t>Total de Insumos Diversos</t>
  </si>
  <si>
    <t>Demais Custos</t>
  </si>
  <si>
    <t>DEMAIS COMPONENTES</t>
  </si>
  <si>
    <t>BASE DE CÁLCULO DAS DESPESAS OPERACIONAIS ADMINISTRATIVAS = TOTAL DA MÃO-DE-OBRA</t>
  </si>
  <si>
    <t>(Remuneração + Encargos Sociais + Insumos de Mão-de-Obra)</t>
  </si>
  <si>
    <t>+ INSUMOS DIVERSOS</t>
  </si>
  <si>
    <t>Lucro (% sobre a base de cálculo do lucro)</t>
  </si>
  <si>
    <t>Total de demais componentes (A+B)</t>
  </si>
  <si>
    <t>BASE DE CÁLCULO DO LUCRO = TOTAL DA MÃO-DE- OBRA</t>
  </si>
  <si>
    <t>DIVERSOS + DESPESAS OPERACIONAIS /ADMINISTRATIVAS</t>
  </si>
  <si>
    <t xml:space="preserve">(Remuneração + Encargos Sociais + Insumos de Mão-De-Obra) + INSUMOS </t>
  </si>
  <si>
    <t>Incidências dos encargos do Grupo “A” sobre os itens do Grupo B</t>
  </si>
  <si>
    <t>Multa Rescisória de 10% sobre o FGTS Cálculo do % = [(1x0,08x0,10)] x 100 – PERCENTUAL OBRIGATÓRIO</t>
  </si>
  <si>
    <t>Cálculo do % = [(1x0,08x0,40)] x 100 – PERCENTUAL OBRIGATÓRIO</t>
  </si>
  <si>
    <t>Módulos tributos</t>
  </si>
  <si>
    <t>Tributos</t>
  </si>
  <si>
    <t>Tributos Federais</t>
  </si>
  <si>
    <t>COFINS (depende do regime de tributação)</t>
  </si>
  <si>
    <t>PIS (depende do regime de tributação)</t>
  </si>
  <si>
    <t>Tributos Estaduais/Municipais</t>
  </si>
  <si>
    <t>ICMS</t>
  </si>
  <si>
    <t>ISS</t>
  </si>
  <si>
    <t>Outros tributos (especificar)</t>
  </si>
  <si>
    <t>Total de Tributos em %</t>
  </si>
  <si>
    <t>Cálculo dos Tributos</t>
  </si>
  <si>
    <t>IRPJ e CSLL (Não incluir esses tributos em face da proibição contida no Parecer PGFN/CJU/COJLC/Nº 1753/2010, e Súmula 254/2010 do Tribunal de Contas da União.</t>
  </si>
  <si>
    <t>BASE DE CÁLCULO PARA OS TRIBUTOS = TOTAL DA MÃO DE OBRA (Remuneração + Encargos Sociais + Insumos de Mão de Obra) + INSUMOS DIVERSOS + DEMAIS COMPONENTES. Aplicar o valor desta Base de Cálculo na fórmula abaixo, para cálculo de cada tributo</t>
  </si>
  <si>
    <t xml:space="preserve"> =(Base de cálculo para os tributos) x Alíquota do Tributo</t>
  </si>
  <si>
    <t>1 – total de tributos em % dividido por 100</t>
  </si>
  <si>
    <r>
      <t>·</t>
    </r>
    <r>
      <rPr>
        <sz val="7"/>
        <color rgb="FF231F20"/>
        <rFont val="Times New Roman"/>
        <family val="1"/>
      </rPr>
      <t xml:space="preserve">         </t>
    </r>
    <r>
      <rPr>
        <sz val="12"/>
        <color rgb="FF231F20"/>
        <rFont val="Times New Roman"/>
        <family val="1"/>
      </rPr>
      <t>Nota: O valor referente a tributos é obtido aplicando-se o percentual sobre o valor do faturamento.</t>
    </r>
  </si>
  <si>
    <t>I</t>
  </si>
  <si>
    <t>Mão-de-obra vinculada à execução contratual (valor por empregado)</t>
  </si>
  <si>
    <t>Valor unit. (R$)</t>
  </si>
  <si>
    <t>Remuneração</t>
  </si>
  <si>
    <t>Encargos sociais</t>
  </si>
  <si>
    <t>Insumos de mão-de-obra</t>
  </si>
  <si>
    <t>Subtotal</t>
  </si>
  <si>
    <t>Total de Mão-de-obra</t>
  </si>
  <si>
    <r>
      <t>·</t>
    </r>
    <r>
      <rPr>
        <sz val="7"/>
        <color rgb="FF231F20"/>
        <rFont val="Times New Roman"/>
        <family val="1"/>
      </rPr>
      <t xml:space="preserve">         </t>
    </r>
    <r>
      <rPr>
        <b/>
        <sz val="11"/>
        <color rgb="FF231F20"/>
        <rFont val="Times New Roman"/>
        <family val="1"/>
      </rPr>
      <t xml:space="preserve">Observações: </t>
    </r>
    <r>
      <rPr>
        <sz val="11"/>
        <color rgb="FF231F20"/>
        <rFont val="Times New Roman"/>
        <family val="1"/>
      </rPr>
      <t>Não serão aceitos no quadro de insumos a presença de item relativo “Treinamento/Reciclagem de Pessoal”, bem como “Supervisão e Fiscalização”, uma vez queesses custos já estão englobados nas despesas administrativas da contratada, conforme Acórdãos nº 592 e 593/2010, respectivamente, do Tribunal de Contas da União.</t>
    </r>
  </si>
  <si>
    <r>
      <t>·</t>
    </r>
    <r>
      <rPr>
        <sz val="7"/>
        <color rgb="FF231F20"/>
        <rFont val="Times New Roman"/>
        <family val="1"/>
      </rPr>
      <t xml:space="preserve">         </t>
    </r>
    <r>
      <rPr>
        <b/>
        <sz val="11"/>
        <color rgb="FF231F20"/>
        <rFont val="Times New Roman"/>
        <family val="1"/>
      </rPr>
      <t xml:space="preserve">Observações: </t>
    </r>
    <r>
      <rPr>
        <sz val="11"/>
        <color rgb="FF231F20"/>
        <rFont val="Times New Roman"/>
        <family val="1"/>
      </rPr>
      <t>Não será aceita no quadro de Remuneração a presença do item “Reserva Técnica”, sem a indicação prévia e expressa dos custos correspondentes que serão cobertos por este item, conforme Acórdãos nº 593/2010, do Tribunal de Contas da União.</t>
    </r>
  </si>
  <si>
    <r>
      <t>·</t>
    </r>
    <r>
      <rPr>
        <sz val="7"/>
        <color rgb="FF231F20"/>
        <rFont val="Times New Roman"/>
        <family val="1"/>
      </rPr>
      <t xml:space="preserve">         </t>
    </r>
    <r>
      <rPr>
        <b/>
        <sz val="11"/>
        <color rgb="FF231F20"/>
        <rFont val="Times New Roman"/>
        <family val="1"/>
      </rPr>
      <t xml:space="preserve">Acórdãos nº 1.319/2010-2ª Câmara </t>
    </r>
    <r>
      <rPr>
        <sz val="11"/>
        <color rgb="FF231F20"/>
        <rFont val="Times New Roman"/>
        <family val="1"/>
      </rPr>
      <t xml:space="preserve">item 1.5.1.1.2. Não permita a inclusão, por parte das licitantes, das seguintes rubricas nas planilhas de preços: </t>
    </r>
    <r>
      <rPr>
        <b/>
        <u/>
        <sz val="11"/>
        <color rgb="FF231F20"/>
        <rFont val="Times New Roman"/>
        <family val="1"/>
      </rPr>
      <t>reserva técnica,</t>
    </r>
    <r>
      <rPr>
        <b/>
        <sz val="11"/>
        <color rgb="FF231F20"/>
        <rFont val="Times New Roman"/>
        <family val="1"/>
      </rPr>
      <t xml:space="preserve"> </t>
    </r>
    <r>
      <rPr>
        <sz val="11"/>
        <color rgb="FF231F20"/>
        <rFont val="Times New Roman"/>
        <family val="1"/>
      </rPr>
      <t>treinamento e aperfeiçoamento de pessoal, IOF + transações bancárias, CSLL e IRPJ no quadro Tributos, Descanso Semanal Remunerado (DRS), hora extra; salvo nos casos em que a empresa comprovar documentalmente estas despesas, fazendo constar as justificativas no processo administrativo relativo à contratação</t>
    </r>
    <r>
      <rPr>
        <sz val="12"/>
        <color rgb="FF231F20"/>
        <rFont val="Times New Roman"/>
        <family val="1"/>
      </rPr>
      <t>.</t>
    </r>
  </si>
  <si>
    <t>Quadro-resumo do Valor Mensal do Serviço</t>
  </si>
  <si>
    <t>Valor Mensal Total ref. Mão-de-obra vinculada à execução contratual</t>
  </si>
  <si>
    <t>Unid. / Elementos</t>
  </si>
  <si>
    <t>Valor</t>
  </si>
  <si>
    <t>Mão-de-obra (vinculada à execução dos serviços)</t>
  </si>
  <si>
    <t>Insumos diversos (mat. / maq. /equipe.)</t>
  </si>
  <si>
    <t>Demais componentes.</t>
  </si>
  <si>
    <t>Valor mensal do serviço</t>
  </si>
  <si>
    <t>Preço mensal do serviço com menor nº de dias trabalhados (quando for o caso)*</t>
  </si>
  <si>
    <t>Valor por unidade de medida</t>
  </si>
  <si>
    <t>Valor global por proposta (valor mensal do serviço X nº de meses do contrato).</t>
  </si>
  <si>
    <r>
      <t>(*)</t>
    </r>
    <r>
      <rPr>
        <sz val="11"/>
        <color rgb="FF231F20"/>
        <rFont val="Times New Roman"/>
        <family val="1"/>
      </rPr>
      <t>Valor Mensal da Mão-de-Obra para prestação de serviços com menor nº de dias de execução contratual na semana (quando for o caso) = Valor mensal do serviço X Dias Efetivamente trabalhados / Dias da semana usados para cálculo do valor cheio</t>
    </r>
    <r>
      <rPr>
        <sz val="12"/>
        <color rgb="FF231F20"/>
        <rFont val="Times New Roman"/>
        <family val="1"/>
      </rPr>
      <t>.</t>
    </r>
  </si>
  <si>
    <t>CAMINHÃO</t>
  </si>
  <si>
    <t>Custo com Veículo</t>
  </si>
  <si>
    <t>Nº de Veículo</t>
  </si>
  <si>
    <t>Un</t>
  </si>
  <si>
    <t>Chassi</t>
  </si>
  <si>
    <t>Baú</t>
  </si>
  <si>
    <t>Valor da Aquisição do veículo</t>
  </si>
  <si>
    <t>R$</t>
  </si>
  <si>
    <t>Valor da Aquisição do Baú</t>
  </si>
  <si>
    <t>Vida útil</t>
  </si>
  <si>
    <t>meses</t>
  </si>
  <si>
    <t>Kilometragem mensal</t>
  </si>
  <si>
    <t>Km/mês</t>
  </si>
  <si>
    <t>Lubrif. e Filtros</t>
  </si>
  <si>
    <t>R$/Km</t>
  </si>
  <si>
    <t>Pneumáticos</t>
  </si>
  <si>
    <t>R$/km</t>
  </si>
  <si>
    <t>Manutenção</t>
  </si>
  <si>
    <t>Depreciação</t>
  </si>
  <si>
    <t>Licenciamento e seguro</t>
  </si>
  <si>
    <t>Custo Mensal</t>
  </si>
  <si>
    <t>LDI</t>
  </si>
  <si>
    <t>Custo unitário por caminhão com LDI</t>
  </si>
  <si>
    <t>USINA DE TRATAMENTO</t>
  </si>
  <si>
    <t>Tratamento por Autoclavamento</t>
  </si>
  <si>
    <t>Quantidade de Autoclaves</t>
  </si>
  <si>
    <t>un</t>
  </si>
  <si>
    <t>Quantidade de Caldeiras</t>
  </si>
  <si>
    <t>Valor da Aquisição</t>
  </si>
  <si>
    <t>Energia elétrica</t>
  </si>
  <si>
    <t>Kmh/mês</t>
  </si>
  <si>
    <t>Combustíveis</t>
  </si>
  <si>
    <t>L/mês</t>
  </si>
  <si>
    <t>KW</t>
  </si>
  <si>
    <t>Lavagem e Desinfecção</t>
  </si>
  <si>
    <t>Materiais de esterilização e limpeza</t>
  </si>
  <si>
    <t>ATERRO E DESCARTE</t>
  </si>
  <si>
    <t>Descarte</t>
  </si>
  <si>
    <t>Volume recolhido</t>
  </si>
  <si>
    <t>Toneladas</t>
  </si>
  <si>
    <t>Volume descartado</t>
  </si>
  <si>
    <t>Carga descartada</t>
  </si>
  <si>
    <t>Preço unitário</t>
  </si>
  <si>
    <t>R$/Carga</t>
  </si>
  <si>
    <t>Custo mensal</t>
  </si>
  <si>
    <t>RESUMO TOTAL DOS CUSTOS</t>
  </si>
  <si>
    <t>COLETA, TRANSPORTE, TRATAMENTO E DESTINO FINAL.</t>
  </si>
  <si>
    <t>Custo</t>
  </si>
  <si>
    <t>Quantidade</t>
  </si>
  <si>
    <t>Pessoal</t>
  </si>
  <si>
    <t>- Coletores</t>
  </si>
  <si>
    <t>- Motorista</t>
  </si>
  <si>
    <t>Pessoal Tratamento</t>
  </si>
  <si>
    <t>- Eng. Sanitarista</t>
  </si>
  <si>
    <t>- Encarregado de Usina</t>
  </si>
  <si>
    <t>- Operador de Caldeira</t>
  </si>
  <si>
    <t>- Aux. de serviço gerais</t>
  </si>
  <si>
    <t>- Caminhões</t>
  </si>
  <si>
    <t>- Tratamento</t>
  </si>
  <si>
    <t>- Destinação/Descarte/Aterro</t>
  </si>
  <si>
    <t>CUSTO TOTAL</t>
  </si>
  <si>
    <t>VOLUME ESTIMADO</t>
  </si>
  <si>
    <t>Quilos</t>
  </si>
  <si>
    <t>Mensais</t>
  </si>
  <si>
    <t>CUSTO UNITÁRIO</t>
  </si>
  <si>
    <t>Cálculo do % = [(7/30)/20 meses do contrato)] x 100 - PERCENTUAL OBRIGATÓRIO.</t>
  </si>
  <si>
    <t>Despesas Operacionais/Administrativas (% sobre a base de cálculo das Despesas Operacionais/Administrativas)</t>
  </si>
  <si>
    <t>Pneumáticos (caminhão não possui original de fábrica)</t>
  </si>
  <si>
    <t>mês</t>
  </si>
  <si>
    <t xml:space="preserve">Combustivel gasto </t>
  </si>
  <si>
    <t>Lubrif. e Filtros (a cada 15.000 km rodado)</t>
  </si>
  <si>
    <t>R$/ano</t>
  </si>
  <si>
    <t>Assistência odontológica Privada (Mês)</t>
  </si>
  <si>
    <t>Assistência Médica e familiar (Mês)</t>
  </si>
  <si>
    <t>Total</t>
  </si>
  <si>
    <t>Custo Mensal/KM</t>
  </si>
  <si>
    <t>Valor da Aquisição do Equipamento Rollon Roloff</t>
  </si>
  <si>
    <t>Volume descartado Incinera</t>
  </si>
  <si>
    <t>Volume descartado CGR</t>
  </si>
  <si>
    <t>Carga descartada Incinera</t>
  </si>
  <si>
    <t>Carga descartada CGR</t>
  </si>
  <si>
    <t>Kilos</t>
  </si>
  <si>
    <t>Preço unitário Incinera</t>
  </si>
  <si>
    <t>Preço unitário CGR</t>
  </si>
  <si>
    <t>Custo mensal / kilo</t>
  </si>
  <si>
    <t>Quantidade/Kg</t>
  </si>
  <si>
    <t>Custo/kg</t>
  </si>
  <si>
    <t>Auxiliar Administrativo</t>
  </si>
  <si>
    <t xml:space="preserve">Mensal </t>
  </si>
  <si>
    <t>(*)Valor Mensal da Mão-de-Obra para prestação de serviços com menor nº de dias de execução contratual na semana (quando for o caso) = Valor mensal do serviço X Dias Efetivamente trabalhados / Dias da semana usados para cálculo do valor cheio.</t>
  </si>
  <si>
    <r>
      <t>·</t>
    </r>
    <r>
      <rPr>
        <sz val="8"/>
        <color rgb="FF231F20"/>
        <rFont val="Times New Roman"/>
        <family val="1"/>
      </rPr>
      <t>         Nota: O valor referente a tributos é obtido aplicando-se o percentual sobre o valor do faturamento.</t>
    </r>
  </si>
  <si>
    <r>
      <t>·</t>
    </r>
    <r>
      <rPr>
        <sz val="8"/>
        <color rgb="FF231F20"/>
        <rFont val="Times New Roman"/>
        <family val="1"/>
      </rPr>
      <t xml:space="preserve">         </t>
    </r>
    <r>
      <rPr>
        <b/>
        <sz val="8"/>
        <color rgb="FF231F20"/>
        <rFont val="Times New Roman"/>
        <family val="1"/>
      </rPr>
      <t xml:space="preserve">Observações: </t>
    </r>
    <r>
      <rPr>
        <sz val="8"/>
        <color rgb="FF231F20"/>
        <rFont val="Times New Roman"/>
        <family val="1"/>
      </rPr>
      <t>Não serão aceitos no quadro de insumos a presença de item relativo “Treinamento/Reciclagem de Pessoal”, bem como “Supervisão e Fiscalização”, uma vez queesses custos já estão englobados nas despesas administrativas da contratada, conforme Acórdãos nº 592 e 593/2010, respectivamente, do Tribunal de Contas da União.</t>
    </r>
  </si>
  <si>
    <r>
      <t>·</t>
    </r>
    <r>
      <rPr>
        <sz val="8"/>
        <color rgb="FF231F20"/>
        <rFont val="Times New Roman"/>
        <family val="1"/>
      </rPr>
      <t xml:space="preserve">         </t>
    </r>
    <r>
      <rPr>
        <b/>
        <sz val="8"/>
        <color rgb="FF231F20"/>
        <rFont val="Times New Roman"/>
        <family val="1"/>
      </rPr>
      <t xml:space="preserve">Observações: </t>
    </r>
    <r>
      <rPr>
        <sz val="8"/>
        <color rgb="FF231F20"/>
        <rFont val="Times New Roman"/>
        <family val="1"/>
      </rPr>
      <t>Não será aceita no quadro de Remuneração a presença do item “Reserva Técnica”, sem a indicação prévia e expressa dos custos correspondentes que serão cobertos por este item, conforme Acórdãos nº 593/2010, do Tribunal de Contas da União.</t>
    </r>
  </si>
  <si>
    <r>
      <t>·</t>
    </r>
    <r>
      <rPr>
        <sz val="8"/>
        <color rgb="FF231F20"/>
        <rFont val="Times New Roman"/>
        <family val="1"/>
      </rPr>
      <t xml:space="preserve">         </t>
    </r>
    <r>
      <rPr>
        <b/>
        <sz val="8"/>
        <color rgb="FF231F20"/>
        <rFont val="Times New Roman"/>
        <family val="1"/>
      </rPr>
      <t xml:space="preserve">Acórdãos nº 1.319/2010-2ª Câmara </t>
    </r>
    <r>
      <rPr>
        <sz val="8"/>
        <color rgb="FF231F20"/>
        <rFont val="Times New Roman"/>
        <family val="1"/>
      </rPr>
      <t xml:space="preserve">item 1.5.1.1.2. Não permita a inclusão, por parte das licitantes, das seguintes rubricas nas planilhas de preços: </t>
    </r>
    <r>
      <rPr>
        <b/>
        <u/>
        <sz val="8"/>
        <color rgb="FF231F20"/>
        <rFont val="Times New Roman"/>
        <family val="1"/>
      </rPr>
      <t>reserva técnica,</t>
    </r>
    <r>
      <rPr>
        <b/>
        <sz val="8"/>
        <color rgb="FF231F20"/>
        <rFont val="Times New Roman"/>
        <family val="1"/>
      </rPr>
      <t xml:space="preserve"> </t>
    </r>
    <r>
      <rPr>
        <sz val="8"/>
        <color rgb="FF231F20"/>
        <rFont val="Times New Roman"/>
        <family val="1"/>
      </rPr>
      <t>treinamento e aperfeiçoamento de pessoal, IOF + transações bancárias, CSLL e IRPJ no quadro Tributos, Descanso Semanal Remunerado (DRS), hora extra; salvo nos casos em que a empresa comprovar documentalmente estas despesas, fazendo constar as justificativas no processo administrativo relativo à contratação.</t>
    </r>
  </si>
  <si>
    <t>Tipo do serviço - MOTORISTA</t>
  </si>
  <si>
    <t>Tipo do serviço - SERVIÇOS GERAIS</t>
  </si>
  <si>
    <t>Tipo do serviço - OPERADOR DE CALDEIRA</t>
  </si>
  <si>
    <t>Tipo do serviço - AUXILIAR DE SERVIÇOS GERAIS</t>
  </si>
  <si>
    <t>·         Nota: O valor referente a tributos é obtido aplicando-se o percentual sobre o valor do faturamento.</t>
  </si>
  <si>
    <r>
      <t xml:space="preserve">·         </t>
    </r>
    <r>
      <rPr>
        <b/>
        <sz val="8"/>
        <color rgb="FF231F20"/>
        <rFont val="Times New Roman"/>
        <family val="1"/>
      </rPr>
      <t xml:space="preserve">Observações: </t>
    </r>
    <r>
      <rPr>
        <sz val="8"/>
        <color rgb="FF231F20"/>
        <rFont val="Times New Roman"/>
        <family val="1"/>
      </rPr>
      <t>Não serão aceitos no quadro de insumos a presença de item relativo “Treinamento/Reciclagem de Pessoal”, bem como “Supervisão e Fiscalização”, uma vez queesses custos já estão englobados nas despesas administrativas da contratada, conforme Acórdãos nº 592 e 593/2010, respectivamente, do Tribunal de Contas da União.</t>
    </r>
  </si>
  <si>
    <r>
      <t xml:space="preserve">·         </t>
    </r>
    <r>
      <rPr>
        <b/>
        <sz val="8"/>
        <color rgb="FF231F20"/>
        <rFont val="Times New Roman"/>
        <family val="1"/>
      </rPr>
      <t xml:space="preserve">Observações: </t>
    </r>
    <r>
      <rPr>
        <sz val="8"/>
        <color rgb="FF231F20"/>
        <rFont val="Times New Roman"/>
        <family val="1"/>
      </rPr>
      <t>Não será aceita no quadro de Remuneração a presença do item “Reserva Técnica”, sem a indicação prévia e expressa dos custos correspondentes que serão cobertos por este item, conforme Acórdãos nº 593/2010, do Tribunal de Contas da União.</t>
    </r>
  </si>
  <si>
    <r>
      <t xml:space="preserve">·         </t>
    </r>
    <r>
      <rPr>
        <b/>
        <sz val="8"/>
        <color rgb="FF231F20"/>
        <rFont val="Times New Roman"/>
        <family val="1"/>
      </rPr>
      <t xml:space="preserve">Acórdãos nº 1.319/2010-2ª Câmara </t>
    </r>
    <r>
      <rPr>
        <sz val="8"/>
        <color rgb="FF231F20"/>
        <rFont val="Times New Roman"/>
        <family val="1"/>
      </rPr>
      <t xml:space="preserve">item 1.5.1.1.2. Não permita a inclusão, por parte das licitantes, das seguintes rubricas nas planilhas de preços: </t>
    </r>
    <r>
      <rPr>
        <b/>
        <u/>
        <sz val="8"/>
        <color rgb="FF231F20"/>
        <rFont val="Times New Roman"/>
        <family val="1"/>
      </rPr>
      <t>reserva técnica,</t>
    </r>
    <r>
      <rPr>
        <b/>
        <sz val="8"/>
        <color rgb="FF231F20"/>
        <rFont val="Times New Roman"/>
        <family val="1"/>
      </rPr>
      <t xml:space="preserve"> </t>
    </r>
    <r>
      <rPr>
        <sz val="8"/>
        <color rgb="FF231F20"/>
        <rFont val="Times New Roman"/>
        <family val="1"/>
      </rPr>
      <t>treinamento e aperfeiçoamento de pessoal, IOF + transações bancárias, CSLL e IRPJ no quadro Tributos, Descanso Semanal Remunerado (DRS), hora extra; salvo nos casos em que a empresa comprovar documentalmente estas despesas, fazendo constar as justificativas no processo administrativo relativo à contratação.</t>
    </r>
  </si>
  <si>
    <t>Tipo do serviço - SUPERVISOR ADM.</t>
  </si>
  <si>
    <t xml:space="preserve"> </t>
  </si>
  <si>
    <t>Tipo do serviço -  ENGENHEIRA SANITARISTA</t>
  </si>
  <si>
    <t>Tipo do serviço - ASSISTENTE JURÍDICO</t>
  </si>
  <si>
    <t>CAMINHÃO DISPOSIÇÃO FINAL</t>
  </si>
  <si>
    <t>Outros (especificar) - ASSIDUIDADE</t>
  </si>
  <si>
    <t>Preço Minímo</t>
  </si>
  <si>
    <t>TAXA DE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</si>
</sst>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0.0%"/>
    <numFmt numFmtId="167" formatCode="0.000%"/>
    <numFmt numFmtId="168" formatCode="_-* #,##0.0_-;\-* #,##0.0_-;_-* &quot;-&quot;??_-;_-@_-"/>
    <numFmt numFmtId="169" formatCode="_-* #,##0_-;\-* #,##0_-;_-* &quot;-&quot;??_-;_-@_-"/>
    <numFmt numFmtId="170" formatCode="_-* #,##0.0_-;\-* #,##0.0_-;_-* &quot;-&quot;?_-;_-@_-"/>
    <numFmt numFmtId="171" formatCode="_-* #,##0.000_-;\-* #,##0.000_-;_-* &quot;-&quot;?_-;_-@_-"/>
    <numFmt numFmtId="172" formatCode="_-* #,##0.000_-;\-* #,##0.000_-;_-* &quot;-&quot;??_-;_-@_-"/>
    <numFmt numFmtId="173" formatCode="_-* #,##0.00000000_-;\-* #,##0.00000000_-;_-* &quot;-&quot;??_-;_-@_-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rgb="FF231F20"/>
      <name val="Times New Roman"/>
      <family val="1"/>
    </font>
    <font>
      <sz val="9"/>
      <color theme="1"/>
      <name val="Times New Roman"/>
      <family val="1"/>
    </font>
    <font>
      <b/>
      <sz val="9"/>
      <color rgb="FF231F20"/>
      <name val="Times New Roman"/>
      <family val="1"/>
    </font>
    <font>
      <sz val="7"/>
      <color theme="1"/>
      <name val="Times New Roman"/>
      <family val="1"/>
    </font>
    <font>
      <sz val="11"/>
      <color rgb="FF231F20"/>
      <name val="Times New Roman"/>
      <family val="1"/>
    </font>
    <font>
      <sz val="12"/>
      <color rgb="FF231F20"/>
      <name val="Times New Roman"/>
      <family val="1"/>
    </font>
    <font>
      <sz val="8.5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u/>
      <sz val="9"/>
      <color rgb="FF231F20"/>
      <name val="Times New Roman"/>
      <family val="1"/>
    </font>
    <font>
      <sz val="9"/>
      <color theme="1"/>
      <name val="Calibri"/>
      <family val="2"/>
      <scheme val="minor"/>
    </font>
    <font>
      <sz val="12"/>
      <color rgb="FF231F20"/>
      <name val="Symbol"/>
      <family val="1"/>
      <charset val="2"/>
    </font>
    <font>
      <sz val="7"/>
      <color rgb="FF231F20"/>
      <name val="Times New Roman"/>
      <family val="1"/>
    </font>
    <font>
      <sz val="11"/>
      <color rgb="FF231F20"/>
      <name val="Symbol"/>
      <family val="1"/>
      <charset val="2"/>
    </font>
    <font>
      <b/>
      <sz val="11"/>
      <color rgb="FF231F20"/>
      <name val="Times New Roman"/>
      <family val="1"/>
    </font>
    <font>
      <b/>
      <u/>
      <sz val="11"/>
      <color rgb="FF231F20"/>
      <name val="Times New Roman"/>
      <family val="1"/>
    </font>
    <font>
      <sz val="5"/>
      <color theme="1"/>
      <name val="Times New Roman"/>
      <family val="1"/>
    </font>
    <font>
      <sz val="6"/>
      <color theme="1"/>
      <name val="Times New Roman"/>
      <family val="1"/>
    </font>
    <font>
      <b/>
      <u/>
      <sz val="9"/>
      <color rgb="FF231F20"/>
      <name val="Times New Roman"/>
      <family val="1"/>
    </font>
    <font>
      <i/>
      <sz val="11"/>
      <color rgb="FF231F20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8"/>
      <color theme="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rgb="FF231F20"/>
      <name val="Times New Roman"/>
      <family val="1"/>
    </font>
    <font>
      <i/>
      <sz val="12"/>
      <color rgb="FF231F20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231F20"/>
      <name val="Times New Roman"/>
      <family val="1"/>
    </font>
    <font>
      <b/>
      <sz val="8"/>
      <color rgb="FF231F20"/>
      <name val="Times New Roman"/>
      <family val="1"/>
    </font>
    <font>
      <b/>
      <sz val="8"/>
      <color theme="1"/>
      <name val="Times New Roman"/>
      <family val="1"/>
    </font>
    <font>
      <u/>
      <sz val="8"/>
      <color rgb="FF231F20"/>
      <name val="Times New Roman"/>
      <family val="1"/>
    </font>
    <font>
      <sz val="8"/>
      <color rgb="FF231F20"/>
      <name val="Symbol"/>
      <family val="1"/>
      <charset val="2"/>
    </font>
    <font>
      <b/>
      <u/>
      <sz val="8"/>
      <color rgb="FF231F20"/>
      <name val="Times New Roman"/>
      <family val="1"/>
    </font>
    <font>
      <i/>
      <sz val="8"/>
      <color rgb="FF231F20"/>
      <name val="Times New Roman"/>
      <family val="1"/>
    </font>
    <font>
      <sz val="8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325">
    <xf numFmtId="0" fontId="0" fillId="0" borderId="0" xfId="0"/>
    <xf numFmtId="0" fontId="6" fillId="0" borderId="1" xfId="0" applyFont="1" applyBorder="1" applyAlignment="1">
      <alignment vertical="center" wrapText="1"/>
    </xf>
    <xf numFmtId="0" fontId="0" fillId="2" borderId="0" xfId="0" applyFill="1"/>
    <xf numFmtId="0" fontId="0" fillId="2" borderId="1" xfId="0" applyFill="1" applyBorder="1"/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/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left" vertical="center" indent="3"/>
    </xf>
    <xf numFmtId="0" fontId="20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vertical="center" wrapText="1" indent="3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vertical="top" wrapText="1"/>
    </xf>
    <xf numFmtId="0" fontId="5" fillId="2" borderId="8" xfId="0" applyFont="1" applyFill="1" applyBorder="1" applyAlignment="1">
      <alignment horizontal="center" wrapText="1"/>
    </xf>
    <xf numFmtId="164" fontId="6" fillId="0" borderId="1" xfId="1" applyFont="1" applyBorder="1" applyAlignment="1">
      <alignment vertical="center" wrapText="1"/>
    </xf>
    <xf numFmtId="164" fontId="0" fillId="2" borderId="0" xfId="1" applyFont="1" applyFill="1" applyBorder="1"/>
    <xf numFmtId="164" fontId="6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3" fontId="6" fillId="0" borderId="1" xfId="3" applyFont="1" applyBorder="1" applyAlignment="1">
      <alignment vertical="center" wrapText="1"/>
    </xf>
    <xf numFmtId="168" fontId="6" fillId="0" borderId="1" xfId="3" applyNumberFormat="1" applyFont="1" applyBorder="1" applyAlignment="1">
      <alignment vertical="center" wrapText="1"/>
    </xf>
    <xf numFmtId="169" fontId="6" fillId="0" borderId="1" xfId="3" applyNumberFormat="1" applyFont="1" applyBorder="1" applyAlignment="1">
      <alignment vertical="center" wrapText="1"/>
    </xf>
    <xf numFmtId="9" fontId="6" fillId="0" borderId="1" xfId="0" applyNumberFormat="1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 wrapText="1"/>
    </xf>
    <xf numFmtId="164" fontId="0" fillId="2" borderId="0" xfId="0" applyNumberFormat="1" applyFill="1" applyBorder="1"/>
    <xf numFmtId="170" fontId="6" fillId="0" borderId="1" xfId="0" applyNumberFormat="1" applyFont="1" applyBorder="1" applyAlignment="1">
      <alignment vertical="center" wrapText="1"/>
    </xf>
    <xf numFmtId="171" fontId="25" fillId="0" borderId="1" xfId="0" applyNumberFormat="1" applyFont="1" applyBorder="1" applyAlignment="1">
      <alignment vertical="center" wrapText="1"/>
    </xf>
    <xf numFmtId="0" fontId="30" fillId="2" borderId="0" xfId="0" applyFont="1" applyFill="1" applyBorder="1"/>
    <xf numFmtId="0" fontId="12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169" fontId="12" fillId="0" borderId="1" xfId="3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3" fontId="12" fillId="0" borderId="1" xfId="0" applyNumberFormat="1" applyFont="1" applyBorder="1" applyAlignment="1">
      <alignment vertical="center" wrapText="1"/>
    </xf>
    <xf numFmtId="43" fontId="12" fillId="0" borderId="1" xfId="3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/>
    </xf>
    <xf numFmtId="43" fontId="28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43" fontId="28" fillId="0" borderId="1" xfId="3" applyFont="1" applyBorder="1" applyAlignment="1">
      <alignment vertical="center" wrapText="1"/>
    </xf>
    <xf numFmtId="168" fontId="12" fillId="0" borderId="1" xfId="0" applyNumberFormat="1" applyFont="1" applyBorder="1" applyAlignment="1">
      <alignment vertical="center" wrapText="1"/>
    </xf>
    <xf numFmtId="2" fontId="12" fillId="0" borderId="1" xfId="0" applyNumberFormat="1" applyFont="1" applyBorder="1" applyAlignment="1">
      <alignment vertical="center" wrapText="1"/>
    </xf>
    <xf numFmtId="172" fontId="6" fillId="0" borderId="1" xfId="3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3" fillId="2" borderId="0" xfId="0" applyFont="1" applyFill="1" applyBorder="1"/>
    <xf numFmtId="0" fontId="33" fillId="2" borderId="0" xfId="0" applyFont="1" applyFill="1" applyBorder="1" applyAlignment="1">
      <alignment horizontal="center"/>
    </xf>
    <xf numFmtId="0" fontId="34" fillId="2" borderId="2" xfId="0" applyFont="1" applyFill="1" applyBorder="1" applyAlignment="1"/>
    <xf numFmtId="0" fontId="33" fillId="2" borderId="1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164" fontId="11" fillId="2" borderId="1" xfId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164" fontId="37" fillId="2" borderId="1" xfId="1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164" fontId="37" fillId="2" borderId="1" xfId="0" applyNumberFormat="1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>
      <alignment horizontal="center" vertical="center" wrapText="1"/>
    </xf>
    <xf numFmtId="9" fontId="11" fillId="2" borderId="1" xfId="2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vertical="center" wrapText="1"/>
    </xf>
    <xf numFmtId="165" fontId="33" fillId="2" borderId="0" xfId="0" applyNumberFormat="1" applyFont="1" applyFill="1" applyBorder="1"/>
    <xf numFmtId="0" fontId="33" fillId="2" borderId="1" xfId="0" applyFont="1" applyFill="1" applyBorder="1"/>
    <xf numFmtId="164" fontId="34" fillId="2" borderId="1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5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vertical="top" wrapText="1"/>
    </xf>
    <xf numFmtId="166" fontId="33" fillId="2" borderId="0" xfId="2" applyNumberFormat="1" applyFont="1" applyFill="1" applyBorder="1"/>
    <xf numFmtId="43" fontId="33" fillId="2" borderId="0" xfId="3" applyFont="1" applyFill="1" applyBorder="1"/>
    <xf numFmtId="10" fontId="33" fillId="2" borderId="0" xfId="2" applyNumberFormat="1" applyFont="1" applyFill="1" applyBorder="1"/>
    <xf numFmtId="167" fontId="33" fillId="2" borderId="0" xfId="2" applyNumberFormat="1" applyFont="1" applyFill="1" applyBorder="1"/>
    <xf numFmtId="0" fontId="35" fillId="2" borderId="9" xfId="0" applyFont="1" applyFill="1" applyBorder="1" applyAlignment="1">
      <alignment wrapText="1"/>
    </xf>
    <xf numFmtId="0" fontId="35" fillId="2" borderId="5" xfId="0" applyFont="1" applyFill="1" applyBorder="1" applyAlignment="1">
      <alignment vertical="top" wrapText="1"/>
    </xf>
    <xf numFmtId="0" fontId="35" fillId="2" borderId="8" xfId="0" applyFont="1" applyFill="1" applyBorder="1" applyAlignment="1">
      <alignment horizontal="left" wrapText="1"/>
    </xf>
    <xf numFmtId="0" fontId="35" fillId="2" borderId="6" xfId="0" applyFont="1" applyFill="1" applyBorder="1" applyAlignment="1">
      <alignment vertical="center" wrapText="1"/>
    </xf>
    <xf numFmtId="9" fontId="33" fillId="2" borderId="0" xfId="2" applyFont="1" applyFill="1" applyBorder="1"/>
    <xf numFmtId="0" fontId="11" fillId="0" borderId="1" xfId="0" applyFont="1" applyBorder="1" applyAlignment="1">
      <alignment vertical="center" wrapText="1"/>
    </xf>
    <xf numFmtId="164" fontId="37" fillId="0" borderId="1" xfId="0" applyNumberFormat="1" applyFont="1" applyBorder="1" applyAlignment="1">
      <alignment vertical="center" wrapText="1"/>
    </xf>
    <xf numFmtId="0" fontId="33" fillId="2" borderId="1" xfId="0" applyFont="1" applyFill="1" applyBorder="1" applyAlignment="1">
      <alignment horizontal="center" vertical="center"/>
    </xf>
    <xf numFmtId="164" fontId="33" fillId="2" borderId="1" xfId="0" applyNumberFormat="1" applyFont="1" applyFill="1" applyBorder="1" applyAlignment="1"/>
    <xf numFmtId="164" fontId="34" fillId="2" borderId="1" xfId="0" applyNumberFormat="1" applyFont="1" applyFill="1" applyBorder="1" applyAlignment="1"/>
    <xf numFmtId="9" fontId="33" fillId="2" borderId="1" xfId="0" applyNumberFormat="1" applyFont="1" applyFill="1" applyBorder="1" applyAlignment="1">
      <alignment horizontal="center" vertical="center"/>
    </xf>
    <xf numFmtId="2" fontId="33" fillId="2" borderId="1" xfId="0" applyNumberFormat="1" applyFont="1" applyFill="1" applyBorder="1" applyAlignment="1">
      <alignment horizontal="center" vertical="center"/>
    </xf>
    <xf numFmtId="43" fontId="34" fillId="2" borderId="1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left" vertical="center" wrapText="1" indent="1"/>
    </xf>
    <xf numFmtId="0" fontId="35" fillId="2" borderId="5" xfId="0" applyFont="1" applyFill="1" applyBorder="1" applyAlignment="1">
      <alignment vertical="center" wrapText="1"/>
    </xf>
    <xf numFmtId="43" fontId="11" fillId="2" borderId="1" xfId="0" applyNumberFormat="1" applyFont="1" applyFill="1" applyBorder="1" applyAlignment="1">
      <alignment vertical="center" wrapText="1"/>
    </xf>
    <xf numFmtId="0" fontId="36" fillId="2" borderId="0" xfId="0" applyFont="1" applyFill="1" applyBorder="1" applyAlignment="1">
      <alignment horizontal="center" wrapText="1"/>
    </xf>
    <xf numFmtId="0" fontId="35" fillId="2" borderId="1" xfId="0" applyFont="1" applyFill="1" applyBorder="1" applyAlignment="1">
      <alignment horizontal="left" vertical="center" wrapText="1"/>
    </xf>
    <xf numFmtId="10" fontId="35" fillId="2" borderId="1" xfId="0" applyNumberFormat="1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top" wrapText="1"/>
    </xf>
    <xf numFmtId="0" fontId="33" fillId="2" borderId="12" xfId="0" applyFont="1" applyFill="1" applyBorder="1" applyAlignment="1">
      <alignment vertical="top" wrapText="1"/>
    </xf>
    <xf numFmtId="0" fontId="36" fillId="2" borderId="8" xfId="0" applyFont="1" applyFill="1" applyBorder="1" applyAlignment="1">
      <alignment horizontal="center" wrapText="1"/>
    </xf>
    <xf numFmtId="0" fontId="35" fillId="2" borderId="3" xfId="0" applyFont="1" applyFill="1" applyBorder="1" applyAlignment="1">
      <alignment vertical="center" wrapText="1"/>
    </xf>
    <xf numFmtId="166" fontId="35" fillId="2" borderId="1" xfId="2" applyNumberFormat="1" applyFont="1" applyFill="1" applyBorder="1" applyAlignment="1">
      <alignment vertical="center" wrapText="1"/>
    </xf>
    <xf numFmtId="43" fontId="37" fillId="2" borderId="1" xfId="0" applyNumberFormat="1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top"/>
    </xf>
    <xf numFmtId="0" fontId="39" fillId="2" borderId="0" xfId="0" applyFont="1" applyFill="1" applyAlignment="1">
      <alignment horizontal="left" vertical="center" indent="6"/>
    </xf>
    <xf numFmtId="0" fontId="33" fillId="2" borderId="0" xfId="0" applyFont="1" applyFill="1"/>
    <xf numFmtId="0" fontId="35" fillId="2" borderId="1" xfId="0" applyFont="1" applyFill="1" applyBorder="1" applyAlignment="1">
      <alignment horizontal="left" vertical="center" wrapText="1" indent="1"/>
    </xf>
    <xf numFmtId="164" fontId="11" fillId="2" borderId="1" xfId="0" applyNumberFormat="1" applyFont="1" applyFill="1" applyBorder="1" applyAlignment="1">
      <alignment vertical="center" wrapText="1"/>
    </xf>
    <xf numFmtId="164" fontId="37" fillId="2" borderId="1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 indent="3"/>
    </xf>
    <xf numFmtId="0" fontId="36" fillId="2" borderId="1" xfId="0" applyFont="1" applyFill="1" applyBorder="1" applyAlignment="1">
      <alignment horizontal="left" vertical="center" wrapText="1" indent="3"/>
    </xf>
    <xf numFmtId="169" fontId="11" fillId="2" borderId="1" xfId="3" applyNumberFormat="1" applyFont="1" applyFill="1" applyBorder="1" applyAlignment="1">
      <alignment vertical="center" wrapText="1"/>
    </xf>
    <xf numFmtId="43" fontId="11" fillId="2" borderId="1" xfId="3" applyFont="1" applyFill="1" applyBorder="1" applyAlignment="1">
      <alignment vertical="center" wrapText="1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37" fillId="2" borderId="2" xfId="0" applyFont="1" applyFill="1" applyBorder="1" applyAlignment="1"/>
    <xf numFmtId="0" fontId="11" fillId="2" borderId="1" xfId="0" applyFont="1" applyFill="1" applyBorder="1" applyAlignment="1">
      <alignment horizontal="center"/>
    </xf>
    <xf numFmtId="165" fontId="11" fillId="2" borderId="0" xfId="0" applyNumberFormat="1" applyFont="1" applyFill="1" applyBorder="1"/>
    <xf numFmtId="0" fontId="11" fillId="2" borderId="1" xfId="0" applyFont="1" applyFill="1" applyBorder="1"/>
    <xf numFmtId="164" fontId="37" fillId="2" borderId="1" xfId="0" applyNumberFormat="1" applyFont="1" applyFill="1" applyBorder="1" applyAlignment="1">
      <alignment horizontal="center"/>
    </xf>
    <xf numFmtId="166" fontId="11" fillId="2" borderId="0" xfId="2" applyNumberFormat="1" applyFont="1" applyFill="1" applyBorder="1"/>
    <xf numFmtId="43" fontId="11" fillId="2" borderId="0" xfId="3" applyFont="1" applyFill="1" applyBorder="1"/>
    <xf numFmtId="10" fontId="11" fillId="2" borderId="0" xfId="2" applyNumberFormat="1" applyFont="1" applyFill="1" applyBorder="1"/>
    <xf numFmtId="167" fontId="11" fillId="2" borderId="0" xfId="2" applyNumberFormat="1" applyFont="1" applyFill="1" applyBorder="1"/>
    <xf numFmtId="9" fontId="11" fillId="2" borderId="0" xfId="2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/>
    <xf numFmtId="164" fontId="37" fillId="2" borderId="1" xfId="0" applyNumberFormat="1" applyFont="1" applyFill="1" applyBorder="1" applyAlignment="1"/>
    <xf numFmtId="9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43" fontId="37" fillId="2" borderId="1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left" vertical="center" indent="6"/>
    </xf>
    <xf numFmtId="0" fontId="11" fillId="2" borderId="0" xfId="0" applyFont="1" applyFill="1"/>
    <xf numFmtId="173" fontId="11" fillId="2" borderId="1" xfId="3" applyNumberFormat="1" applyFont="1" applyFill="1" applyBorder="1" applyAlignment="1">
      <alignment vertical="center" wrapText="1"/>
    </xf>
    <xf numFmtId="164" fontId="11" fillId="4" borderId="1" xfId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vertical="center" wrapText="1"/>
    </xf>
    <xf numFmtId="43" fontId="12" fillId="4" borderId="1" xfId="3" applyNumberFormat="1" applyFont="1" applyFill="1" applyBorder="1" applyAlignment="1">
      <alignment vertical="center" wrapText="1"/>
    </xf>
    <xf numFmtId="164" fontId="6" fillId="0" borderId="1" xfId="1" applyFont="1" applyFill="1" applyBorder="1" applyAlignment="1">
      <alignment vertical="center" wrapText="1"/>
    </xf>
    <xf numFmtId="0" fontId="30" fillId="2" borderId="1" xfId="0" applyFont="1" applyFill="1" applyBorder="1"/>
    <xf numFmtId="9" fontId="30" fillId="2" borderId="1" xfId="0" applyNumberFormat="1" applyFont="1" applyFill="1" applyBorder="1" applyAlignment="1">
      <alignment horizontal="right" vertical="center"/>
    </xf>
    <xf numFmtId="164" fontId="12" fillId="0" borderId="1" xfId="1" applyFont="1" applyBorder="1" applyAlignment="1">
      <alignment vertical="center" wrapText="1"/>
    </xf>
    <xf numFmtId="164" fontId="30" fillId="2" borderId="1" xfId="1" applyFont="1" applyFill="1" applyBorder="1" applyAlignment="1">
      <alignment horizontal="center"/>
    </xf>
    <xf numFmtId="0" fontId="28" fillId="2" borderId="1" xfId="0" applyFont="1" applyFill="1" applyBorder="1"/>
    <xf numFmtId="0" fontId="32" fillId="2" borderId="0" xfId="0" applyFont="1" applyFill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 indent="10"/>
    </xf>
    <xf numFmtId="0" fontId="33" fillId="2" borderId="0" xfId="0" applyFont="1" applyFill="1" applyBorder="1" applyAlignment="1">
      <alignment horizontal="left"/>
    </xf>
    <xf numFmtId="0" fontId="35" fillId="2" borderId="0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34" fillId="2" borderId="3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10" fontId="35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0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0" fontId="11" fillId="2" borderId="11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vertical="top" wrapText="1"/>
    </xf>
    <xf numFmtId="0" fontId="36" fillId="0" borderId="1" xfId="0" applyFont="1" applyBorder="1" applyAlignment="1">
      <alignment vertical="center" wrapText="1"/>
    </xf>
    <xf numFmtId="0" fontId="42" fillId="2" borderId="3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6" fillId="2" borderId="1" xfId="0" applyFont="1" applyFill="1" applyBorder="1" applyAlignment="1">
      <alignment horizontal="left" vertical="center" wrapText="1" indent="9"/>
    </xf>
    <xf numFmtId="0" fontId="35" fillId="2" borderId="0" xfId="0" applyFont="1" applyFill="1" applyBorder="1" applyAlignment="1">
      <alignment vertical="top" wrapText="1"/>
    </xf>
    <xf numFmtId="0" fontId="35" fillId="2" borderId="0" xfId="0" applyFont="1" applyFill="1" applyBorder="1" applyAlignment="1">
      <alignment wrapText="1"/>
    </xf>
    <xf numFmtId="0" fontId="35" fillId="2" borderId="7" xfId="0" applyFont="1" applyFill="1" applyBorder="1" applyAlignment="1">
      <alignment vertical="top" wrapText="1"/>
    </xf>
    <xf numFmtId="0" fontId="35" fillId="0" borderId="1" xfId="0" applyFont="1" applyBorder="1" applyAlignment="1">
      <alignment horizontal="left" vertical="center" wrapText="1"/>
    </xf>
    <xf numFmtId="10" fontId="33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vertical="center" wrapText="1"/>
    </xf>
    <xf numFmtId="9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33" fillId="2" borderId="1" xfId="0" applyNumberFormat="1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9" fontId="33" fillId="2" borderId="1" xfId="0" applyNumberFormat="1" applyFont="1" applyFill="1" applyBorder="1" applyAlignment="1">
      <alignment horizontal="center" vertical="center"/>
    </xf>
    <xf numFmtId="43" fontId="33" fillId="2" borderId="1" xfId="0" applyNumberFormat="1" applyFont="1" applyFill="1" applyBorder="1" applyAlignment="1">
      <alignment horizontal="center" vertical="center"/>
    </xf>
    <xf numFmtId="43" fontId="26" fillId="0" borderId="1" xfId="3" applyFont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left" vertical="top" wrapText="1"/>
    </xf>
    <xf numFmtId="0" fontId="35" fillId="2" borderId="1" xfId="0" applyFont="1" applyFill="1" applyBorder="1" applyAlignment="1">
      <alignment horizontal="left" vertical="center" wrapText="1" indent="15"/>
    </xf>
    <xf numFmtId="0" fontId="36" fillId="2" borderId="2" xfId="0" applyFont="1" applyFill="1" applyBorder="1" applyAlignment="1">
      <alignment horizontal="left" vertical="center" wrapText="1"/>
    </xf>
    <xf numFmtId="0" fontId="36" fillId="2" borderId="4" xfId="0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left" vertical="center" wrapText="1"/>
    </xf>
    <xf numFmtId="0" fontId="39" fillId="2" borderId="0" xfId="0" applyFont="1" applyFill="1" applyAlignment="1">
      <alignment horizontal="left" vertical="top" wrapText="1"/>
    </xf>
    <xf numFmtId="0" fontId="35" fillId="2" borderId="2" xfId="0" applyFont="1" applyFill="1" applyBorder="1" applyAlignment="1">
      <alignment horizontal="left" vertical="center" wrapText="1"/>
    </xf>
    <xf numFmtId="0" fontId="35" fillId="2" borderId="3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0" fontId="39" fillId="2" borderId="0" xfId="0" applyFont="1" applyFill="1" applyAlignment="1">
      <alignment horizontal="left" wrapText="1"/>
    </xf>
    <xf numFmtId="0" fontId="39" fillId="2" borderId="0" xfId="0" applyFont="1" applyFill="1" applyAlignment="1">
      <alignment horizontal="left" vertical="center" wrapText="1"/>
    </xf>
    <xf numFmtId="0" fontId="41" fillId="2" borderId="0" xfId="0" applyFont="1" applyFill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left" vertical="top" wrapText="1"/>
    </xf>
    <xf numFmtId="0" fontId="35" fillId="2" borderId="0" xfId="0" applyFont="1" applyFill="1" applyAlignment="1">
      <alignment horizontal="left" wrapText="1"/>
    </xf>
    <xf numFmtId="1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9" fontId="11" fillId="2" borderId="1" xfId="0" applyNumberFormat="1" applyFont="1" applyFill="1" applyBorder="1" applyAlignment="1">
      <alignment horizontal="center" vertical="center"/>
    </xf>
    <xf numFmtId="43" fontId="1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37" fillId="2" borderId="3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8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 indent="9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 indent="15"/>
    </xf>
    <xf numFmtId="0" fontId="17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7" fillId="2" borderId="0" xfId="0" applyFont="1" applyFill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0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zoomScale="70" zoomScaleNormal="70" workbookViewId="0">
      <selection activeCell="F29" sqref="F29"/>
    </sheetView>
  </sheetViews>
  <sheetFormatPr defaultRowHeight="15.75" x14ac:dyDescent="0.25"/>
  <cols>
    <col min="1" max="1" width="32" style="71" bestFit="1" customWidth="1"/>
    <col min="2" max="2" width="49.42578125" style="71" customWidth="1"/>
    <col min="3" max="3" width="18.5703125" style="71" customWidth="1"/>
    <col min="4" max="4" width="17.85546875" style="80" customWidth="1"/>
    <col min="5" max="5" width="15.140625" style="71" customWidth="1"/>
    <col min="6" max="16384" width="9.140625" style="71"/>
  </cols>
  <sheetData>
    <row r="1" spans="1:4" ht="15" customHeight="1" x14ac:dyDescent="0.25">
      <c r="A1" s="189" t="s">
        <v>182</v>
      </c>
      <c r="B1" s="190"/>
      <c r="C1" s="190"/>
      <c r="D1" s="191"/>
    </row>
    <row r="2" spans="1:4" x14ac:dyDescent="0.25">
      <c r="A2" s="192" t="s">
        <v>183</v>
      </c>
      <c r="B2" s="192"/>
      <c r="C2" s="192"/>
      <c r="D2" s="192"/>
    </row>
    <row r="3" spans="1:4" x14ac:dyDescent="0.25">
      <c r="A3" s="72"/>
      <c r="B3" s="73" t="s">
        <v>223</v>
      </c>
      <c r="C3" s="73" t="s">
        <v>222</v>
      </c>
      <c r="D3" s="73" t="s">
        <v>144</v>
      </c>
    </row>
    <row r="4" spans="1:4" x14ac:dyDescent="0.25">
      <c r="A4" s="74" t="s">
        <v>186</v>
      </c>
      <c r="B4" s="72"/>
      <c r="C4" s="75"/>
      <c r="D4" s="72"/>
    </row>
    <row r="5" spans="1:4" x14ac:dyDescent="0.25">
      <c r="A5" s="76" t="s">
        <v>187</v>
      </c>
      <c r="B5" s="82">
        <f>'Serviços Gerais'!D164</f>
        <v>0.17953803020620898</v>
      </c>
      <c r="C5" s="181">
        <v>218600</v>
      </c>
      <c r="D5" s="78">
        <f>C5*B5</f>
        <v>39247.013403077282</v>
      </c>
    </row>
    <row r="6" spans="1:4" x14ac:dyDescent="0.25">
      <c r="A6" s="76" t="s">
        <v>188</v>
      </c>
      <c r="B6" s="82">
        <f>Motorista!D164</f>
        <v>0.70254988195199997</v>
      </c>
      <c r="C6" s="181">
        <v>218600</v>
      </c>
      <c r="D6" s="78">
        <f>C6*B6</f>
        <v>153577.4041947072</v>
      </c>
    </row>
    <row r="7" spans="1:4" x14ac:dyDescent="0.25">
      <c r="A7" s="76" t="s">
        <v>224</v>
      </c>
      <c r="B7" s="82">
        <f>'Auxiliar de Serviços Gerais'!D164</f>
        <v>2.5289442490215454E-2</v>
      </c>
      <c r="C7" s="181">
        <v>218600</v>
      </c>
      <c r="D7" s="78">
        <f>C7*B7</f>
        <v>5528.2721283610981</v>
      </c>
    </row>
    <row r="8" spans="1:4" x14ac:dyDescent="0.25">
      <c r="A8" s="72"/>
      <c r="B8" s="72"/>
      <c r="C8" s="72"/>
      <c r="D8" s="81">
        <f>SUM(D5:D7)</f>
        <v>198352.68972614559</v>
      </c>
    </row>
    <row r="9" spans="1:4" x14ac:dyDescent="0.25">
      <c r="A9" s="74" t="s">
        <v>189</v>
      </c>
      <c r="B9" s="72"/>
      <c r="C9" s="72"/>
      <c r="D9" s="72"/>
    </row>
    <row r="10" spans="1:4" x14ac:dyDescent="0.25">
      <c r="A10" s="76" t="s">
        <v>190</v>
      </c>
      <c r="B10" s="82">
        <f>'Eng. Sanitarista'!D164</f>
        <v>7.8024219554386001E-2</v>
      </c>
      <c r="C10" s="181">
        <v>218600</v>
      </c>
      <c r="D10" s="78">
        <f t="shared" ref="D10:D13" si="0">C10*B10</f>
        <v>17056.094394588781</v>
      </c>
    </row>
    <row r="11" spans="1:4" x14ac:dyDescent="0.25">
      <c r="D11" s="71"/>
    </row>
    <row r="12" spans="1:4" x14ac:dyDescent="0.25">
      <c r="A12" s="76" t="s">
        <v>192</v>
      </c>
      <c r="B12" s="82">
        <f>'Operador de Caldeira'!D164</f>
        <v>4.024417662577684E-2</v>
      </c>
      <c r="C12" s="181">
        <v>218600</v>
      </c>
      <c r="D12" s="78">
        <f t="shared" si="0"/>
        <v>8797.3770103948173</v>
      </c>
    </row>
    <row r="13" spans="1:4" x14ac:dyDescent="0.25">
      <c r="A13" s="76" t="s">
        <v>193</v>
      </c>
      <c r="B13" s="82">
        <f>'Auxiliar de Serviços Gerais'!D164</f>
        <v>2.5289442490215454E-2</v>
      </c>
      <c r="C13" s="181">
        <v>218600</v>
      </c>
      <c r="D13" s="78">
        <f t="shared" si="0"/>
        <v>5528.2721283610981</v>
      </c>
    </row>
    <row r="14" spans="1:4" x14ac:dyDescent="0.25">
      <c r="A14" s="76"/>
      <c r="B14" s="77"/>
      <c r="C14" s="75"/>
      <c r="D14" s="81">
        <f>SUM(D10:D13)</f>
        <v>31381.743533344696</v>
      </c>
    </row>
    <row r="15" spans="1:4" x14ac:dyDescent="0.25">
      <c r="A15" s="76" t="s">
        <v>35</v>
      </c>
      <c r="B15" s="72"/>
      <c r="C15" s="72"/>
      <c r="D15" s="72"/>
    </row>
    <row r="16" spans="1:4" x14ac:dyDescent="0.25">
      <c r="A16" s="76" t="s">
        <v>194</v>
      </c>
      <c r="B16" s="82">
        <f>'Caminhão Coleta'!D17</f>
        <v>0.27733699801496414</v>
      </c>
      <c r="C16" s="181">
        <v>218600</v>
      </c>
      <c r="D16" s="78">
        <f t="shared" ref="D16:D19" si="1">C16*B16</f>
        <v>60625.867766071162</v>
      </c>
    </row>
    <row r="17" spans="1:5" x14ac:dyDescent="0.25">
      <c r="A17" s="76" t="s">
        <v>26</v>
      </c>
      <c r="B17" s="82">
        <f>'Caminhão Disp. Fin (2)'!D17</f>
        <v>1.1872225909434071</v>
      </c>
      <c r="C17" s="181">
        <v>218600</v>
      </c>
      <c r="D17" s="78">
        <f t="shared" si="1"/>
        <v>259526.8583802288</v>
      </c>
    </row>
    <row r="18" spans="1:5" x14ac:dyDescent="0.25">
      <c r="A18" s="76" t="s">
        <v>195</v>
      </c>
      <c r="B18" s="82">
        <f>'Usina de Tratamento'!D12</f>
        <v>1.4679523591388</v>
      </c>
      <c r="C18" s="181">
        <v>218600</v>
      </c>
      <c r="D18" s="78">
        <f t="shared" si="1"/>
        <v>320894.38570774166</v>
      </c>
    </row>
    <row r="19" spans="1:5" x14ac:dyDescent="0.25">
      <c r="A19" s="76" t="s">
        <v>196</v>
      </c>
      <c r="B19" s="82">
        <f>'Aterro e Descarte'!D11</f>
        <v>1.4200991952404383</v>
      </c>
      <c r="C19" s="181">
        <v>218600</v>
      </c>
      <c r="D19" s="78">
        <f t="shared" si="1"/>
        <v>310433.68407955981</v>
      </c>
    </row>
    <row r="20" spans="1:5" x14ac:dyDescent="0.25">
      <c r="A20" s="76"/>
      <c r="B20" s="82"/>
      <c r="C20" s="75"/>
      <c r="D20" s="83">
        <f>SUM(D16:D19)</f>
        <v>951480.79593360145</v>
      </c>
    </row>
    <row r="21" spans="1:5" x14ac:dyDescent="0.25">
      <c r="A21" s="74" t="s">
        <v>240</v>
      </c>
      <c r="B21" s="72"/>
      <c r="C21" s="72"/>
      <c r="D21" s="81">
        <f>D20+D14+D8</f>
        <v>1181215.2291930919</v>
      </c>
    </row>
    <row r="22" spans="1:5" x14ac:dyDescent="0.25">
      <c r="A22" s="72"/>
      <c r="B22" s="72"/>
      <c r="C22" s="72"/>
      <c r="D22" s="72"/>
    </row>
    <row r="23" spans="1:5" x14ac:dyDescent="0.25">
      <c r="A23" s="74" t="s">
        <v>198</v>
      </c>
      <c r="B23" s="79" t="s">
        <v>199</v>
      </c>
      <c r="C23" s="79" t="s">
        <v>225</v>
      </c>
      <c r="D23" s="72"/>
    </row>
    <row r="24" spans="1:5" x14ac:dyDescent="0.25">
      <c r="A24" s="72"/>
      <c r="B24" s="75"/>
      <c r="C24" s="84"/>
      <c r="D24" s="85"/>
    </row>
    <row r="25" spans="1:5" x14ac:dyDescent="0.25">
      <c r="A25" s="74" t="s">
        <v>201</v>
      </c>
      <c r="B25" s="75"/>
      <c r="C25" s="181">
        <v>218600</v>
      </c>
      <c r="D25" s="185">
        <f>D21/C25</f>
        <v>5.4035463366564125</v>
      </c>
      <c r="E25" s="71" t="s">
        <v>245</v>
      </c>
    </row>
    <row r="26" spans="1:5" x14ac:dyDescent="0.25">
      <c r="A26" s="187" t="s">
        <v>246</v>
      </c>
      <c r="B26" s="184"/>
      <c r="C26" s="183"/>
      <c r="D26" s="186"/>
    </row>
    <row r="27" spans="1:5" ht="33.75" customHeight="1" x14ac:dyDescent="0.25">
      <c r="A27" s="188"/>
      <c r="B27" s="188"/>
      <c r="C27" s="188"/>
      <c r="D27" s="188"/>
    </row>
    <row r="28" spans="1:5" ht="33" customHeight="1" x14ac:dyDescent="0.25">
      <c r="A28" s="188"/>
      <c r="B28" s="188"/>
      <c r="C28" s="188"/>
      <c r="D28" s="188"/>
    </row>
    <row r="29" spans="1:5" x14ac:dyDescent="0.25">
      <c r="A29" s="188"/>
      <c r="B29" s="188"/>
      <c r="C29" s="188"/>
      <c r="D29" s="188"/>
    </row>
    <row r="30" spans="1:5" x14ac:dyDescent="0.25">
      <c r="A30" s="188"/>
      <c r="B30" s="188"/>
      <c r="C30" s="188"/>
      <c r="D30" s="188"/>
    </row>
  </sheetData>
  <mergeCells count="5">
    <mergeCell ref="A28:D28"/>
    <mergeCell ref="A29:D30"/>
    <mergeCell ref="A1:D1"/>
    <mergeCell ref="A2:D2"/>
    <mergeCell ref="A27:D2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G25"/>
  <sheetViews>
    <sheetView zoomScale="140" zoomScaleNormal="140" workbookViewId="0">
      <selection activeCell="D10" sqref="D10"/>
    </sheetView>
  </sheetViews>
  <sheetFormatPr defaultRowHeight="15" x14ac:dyDescent="0.25"/>
  <cols>
    <col min="1" max="1" width="21.42578125" style="5" customWidth="1"/>
    <col min="2" max="2" width="41.42578125" style="5" customWidth="1"/>
    <col min="3" max="3" width="9.85546875" style="5" customWidth="1"/>
    <col min="4" max="4" width="14" style="61" bestFit="1" customWidth="1"/>
    <col min="5" max="5" width="12.140625" style="5" bestFit="1" customWidth="1"/>
    <col min="6" max="16384" width="9.140625" style="5"/>
  </cols>
  <sheetData>
    <row r="1" spans="1:7" x14ac:dyDescent="0.25">
      <c r="A1" s="268" t="s">
        <v>243</v>
      </c>
      <c r="B1" s="268"/>
      <c r="C1" s="268"/>
      <c r="D1" s="268"/>
    </row>
    <row r="2" spans="1:7" x14ac:dyDescent="0.25">
      <c r="A2" s="268" t="s">
        <v>138</v>
      </c>
      <c r="B2" s="268"/>
      <c r="C2" s="268"/>
      <c r="D2" s="268"/>
    </row>
    <row r="3" spans="1:7" x14ac:dyDescent="0.25">
      <c r="A3" s="268" t="s">
        <v>139</v>
      </c>
      <c r="B3" s="268"/>
      <c r="C3" s="62" t="s">
        <v>140</v>
      </c>
      <c r="D3" s="1">
        <v>1</v>
      </c>
    </row>
    <row r="4" spans="1:7" x14ac:dyDescent="0.25">
      <c r="A4" s="269" t="s">
        <v>141</v>
      </c>
      <c r="B4" s="269"/>
      <c r="C4" s="62" t="s">
        <v>140</v>
      </c>
      <c r="D4" s="1">
        <v>1</v>
      </c>
    </row>
    <row r="5" spans="1:7" x14ac:dyDescent="0.25">
      <c r="A5" s="269" t="s">
        <v>142</v>
      </c>
      <c r="B5" s="269"/>
      <c r="C5" s="62" t="s">
        <v>140</v>
      </c>
      <c r="D5" s="1">
        <v>1</v>
      </c>
    </row>
    <row r="6" spans="1:7" x14ac:dyDescent="0.25">
      <c r="A6" s="269" t="s">
        <v>143</v>
      </c>
      <c r="B6" s="269"/>
      <c r="C6" s="62" t="s">
        <v>144</v>
      </c>
      <c r="D6" s="56">
        <v>350000</v>
      </c>
    </row>
    <row r="7" spans="1:7" x14ac:dyDescent="0.25">
      <c r="A7" s="269" t="s">
        <v>213</v>
      </c>
      <c r="B7" s="269"/>
      <c r="C7" s="62" t="s">
        <v>144</v>
      </c>
      <c r="D7" s="56">
        <v>85000</v>
      </c>
    </row>
    <row r="8" spans="1:7" x14ac:dyDescent="0.25">
      <c r="A8" s="269" t="s">
        <v>146</v>
      </c>
      <c r="B8" s="269"/>
      <c r="C8" s="62" t="s">
        <v>147</v>
      </c>
      <c r="D8" s="1">
        <v>120</v>
      </c>
    </row>
    <row r="9" spans="1:7" x14ac:dyDescent="0.25">
      <c r="A9" s="269" t="s">
        <v>148</v>
      </c>
      <c r="B9" s="269"/>
      <c r="C9" s="62" t="s">
        <v>149</v>
      </c>
      <c r="D9" s="180">
        <v>3300</v>
      </c>
    </row>
    <row r="10" spans="1:7" x14ac:dyDescent="0.25">
      <c r="A10" s="269" t="s">
        <v>207</v>
      </c>
      <c r="B10" s="269"/>
      <c r="C10" s="62" t="s">
        <v>151</v>
      </c>
      <c r="D10" s="58">
        <f>0.3*D9</f>
        <v>990</v>
      </c>
    </row>
    <row r="11" spans="1:7" x14ac:dyDescent="0.25">
      <c r="A11" s="269" t="s">
        <v>204</v>
      </c>
      <c r="B11" s="269"/>
      <c r="C11" s="62" t="s">
        <v>153</v>
      </c>
      <c r="D11" s="59"/>
      <c r="G11" s="57"/>
    </row>
    <row r="12" spans="1:7" x14ac:dyDescent="0.25">
      <c r="A12" s="269" t="s">
        <v>206</v>
      </c>
      <c r="B12" s="269"/>
      <c r="C12" s="60" t="s">
        <v>205</v>
      </c>
      <c r="D12" s="182">
        <f>(D9/1.3)*6.2</f>
        <v>15738.461538461539</v>
      </c>
    </row>
    <row r="13" spans="1:7" x14ac:dyDescent="0.25">
      <c r="A13" s="269" t="s">
        <v>154</v>
      </c>
      <c r="B13" s="269"/>
      <c r="C13" s="60" t="s">
        <v>205</v>
      </c>
      <c r="D13" s="56">
        <v>4500</v>
      </c>
    </row>
    <row r="14" spans="1:7" x14ac:dyDescent="0.25">
      <c r="A14" s="269" t="s">
        <v>155</v>
      </c>
      <c r="B14" s="269"/>
      <c r="C14" s="60" t="s">
        <v>208</v>
      </c>
      <c r="D14" s="56">
        <v>3500</v>
      </c>
    </row>
    <row r="15" spans="1:7" x14ac:dyDescent="0.25">
      <c r="A15" s="269" t="s">
        <v>156</v>
      </c>
      <c r="B15" s="269"/>
      <c r="C15" s="60" t="s">
        <v>205</v>
      </c>
      <c r="D15" s="56">
        <f>174/12</f>
        <v>14.5</v>
      </c>
    </row>
    <row r="16" spans="1:7" x14ac:dyDescent="0.25">
      <c r="A16" s="269" t="s">
        <v>36</v>
      </c>
      <c r="B16" s="269"/>
      <c r="C16" s="1"/>
      <c r="D16" s="1"/>
    </row>
    <row r="17" spans="1:5" x14ac:dyDescent="0.25">
      <c r="A17" s="269" t="s">
        <v>212</v>
      </c>
      <c r="B17" s="269"/>
      <c r="C17" s="1"/>
      <c r="D17" s="86">
        <f>(((((D15+D14+D13+D12+D10)/10915)*1000)+324.83)/10915)/0.2</f>
        <v>1.1872225909434071</v>
      </c>
      <c r="E17" s="68"/>
    </row>
    <row r="18" spans="1:5" x14ac:dyDescent="0.25">
      <c r="A18" s="269" t="s">
        <v>158</v>
      </c>
      <c r="B18" s="269"/>
      <c r="C18" s="1"/>
      <c r="D18" s="1"/>
    </row>
    <row r="19" spans="1:5" x14ac:dyDescent="0.25">
      <c r="A19" s="269" t="s">
        <v>159</v>
      </c>
      <c r="B19" s="269"/>
      <c r="C19" s="1"/>
      <c r="D19" s="1"/>
    </row>
    <row r="21" spans="1:5" ht="31.5" customHeight="1" x14ac:dyDescent="0.25">
      <c r="A21" s="270"/>
      <c r="B21" s="270"/>
      <c r="C21" s="270"/>
      <c r="D21" s="270"/>
    </row>
    <row r="22" spans="1:5" ht="33.75" customHeight="1" x14ac:dyDescent="0.25">
      <c r="A22" s="270"/>
      <c r="B22" s="270"/>
      <c r="C22" s="270"/>
      <c r="D22" s="270"/>
    </row>
    <row r="23" spans="1:5" ht="33" customHeight="1" x14ac:dyDescent="0.25">
      <c r="A23" s="270"/>
      <c r="B23" s="270"/>
      <c r="C23" s="270"/>
      <c r="D23" s="270"/>
    </row>
    <row r="24" spans="1:5" x14ac:dyDescent="0.25">
      <c r="A24" s="270"/>
      <c r="B24" s="270"/>
      <c r="C24" s="270"/>
      <c r="D24" s="270"/>
    </row>
    <row r="25" spans="1:5" x14ac:dyDescent="0.25">
      <c r="A25" s="270"/>
      <c r="B25" s="270"/>
      <c r="C25" s="270"/>
      <c r="D25" s="270"/>
    </row>
  </sheetData>
  <mergeCells count="23">
    <mergeCell ref="A6:B6"/>
    <mergeCell ref="A1:D1"/>
    <mergeCell ref="A2:D2"/>
    <mergeCell ref="A3:B3"/>
    <mergeCell ref="A4:B4"/>
    <mergeCell ref="A5:B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1:D21"/>
    <mergeCell ref="A22:D22"/>
    <mergeCell ref="A23:D23"/>
    <mergeCell ref="A24:D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0"/>
  <sheetViews>
    <sheetView zoomScale="110" zoomScaleNormal="110" workbookViewId="0">
      <selection activeCell="D12" sqref="D12"/>
    </sheetView>
  </sheetViews>
  <sheetFormatPr defaultRowHeight="15" x14ac:dyDescent="0.25"/>
  <cols>
    <col min="1" max="1" width="21.42578125" style="5" customWidth="1"/>
    <col min="2" max="2" width="49.42578125" style="5" customWidth="1"/>
    <col min="3" max="3" width="9.85546875" style="5" customWidth="1"/>
    <col min="4" max="4" width="14" style="44" bestFit="1" customWidth="1"/>
    <col min="5" max="16384" width="9.140625" style="5"/>
  </cols>
  <sheetData>
    <row r="1" spans="1:4" x14ac:dyDescent="0.25">
      <c r="A1" s="268" t="s">
        <v>160</v>
      </c>
      <c r="B1" s="268"/>
      <c r="C1" s="268"/>
      <c r="D1" s="268"/>
    </row>
    <row r="2" spans="1:4" x14ac:dyDescent="0.25">
      <c r="A2" s="268" t="s">
        <v>161</v>
      </c>
      <c r="B2" s="268"/>
      <c r="C2" s="268"/>
      <c r="D2" s="268"/>
    </row>
    <row r="3" spans="1:4" x14ac:dyDescent="0.25">
      <c r="A3" s="271" t="s">
        <v>162</v>
      </c>
      <c r="B3" s="271"/>
      <c r="C3" s="27" t="s">
        <v>163</v>
      </c>
      <c r="D3" s="23">
        <v>1</v>
      </c>
    </row>
    <row r="4" spans="1:4" x14ac:dyDescent="0.25">
      <c r="A4" s="269" t="s">
        <v>164</v>
      </c>
      <c r="B4" s="269"/>
      <c r="C4" s="27" t="s">
        <v>163</v>
      </c>
      <c r="D4" s="1">
        <v>1</v>
      </c>
    </row>
    <row r="5" spans="1:4" x14ac:dyDescent="0.25">
      <c r="A5" s="269" t="s">
        <v>165</v>
      </c>
      <c r="B5" s="269"/>
      <c r="C5" s="27" t="s">
        <v>144</v>
      </c>
      <c r="D5" s="63">
        <v>280000</v>
      </c>
    </row>
    <row r="6" spans="1:4" x14ac:dyDescent="0.25">
      <c r="A6" s="269" t="s">
        <v>146</v>
      </c>
      <c r="B6" s="269"/>
      <c r="C6" s="27" t="s">
        <v>147</v>
      </c>
      <c r="D6" s="1">
        <v>300</v>
      </c>
    </row>
    <row r="7" spans="1:4" x14ac:dyDescent="0.25">
      <c r="A7" s="269" t="s">
        <v>166</v>
      </c>
      <c r="B7" s="269"/>
      <c r="C7" s="27" t="s">
        <v>167</v>
      </c>
      <c r="D7" s="63">
        <f>(3355*2)*0.8</f>
        <v>5368</v>
      </c>
    </row>
    <row r="8" spans="1:4" x14ac:dyDescent="0.25">
      <c r="A8" s="269" t="s">
        <v>168</v>
      </c>
      <c r="B8" s="269"/>
      <c r="C8" s="27" t="s">
        <v>169</v>
      </c>
      <c r="D8" s="65">
        <v>11000</v>
      </c>
    </row>
    <row r="9" spans="1:4" x14ac:dyDescent="0.25">
      <c r="A9" s="269" t="s">
        <v>155</v>
      </c>
      <c r="B9" s="269"/>
      <c r="C9" s="66">
        <v>0.03</v>
      </c>
      <c r="D9" s="1">
        <f>(C9*D5)/6</f>
        <v>1400</v>
      </c>
    </row>
    <row r="10" spans="1:4" x14ac:dyDescent="0.25">
      <c r="A10" s="269" t="s">
        <v>171</v>
      </c>
      <c r="B10" s="269"/>
      <c r="C10" s="1"/>
      <c r="D10" s="63">
        <v>20</v>
      </c>
    </row>
    <row r="11" spans="1:4" x14ac:dyDescent="0.25">
      <c r="A11" s="269" t="s">
        <v>172</v>
      </c>
      <c r="B11" s="269"/>
      <c r="C11" s="1"/>
      <c r="D11" s="1">
        <v>15</v>
      </c>
    </row>
    <row r="12" spans="1:4" x14ac:dyDescent="0.25">
      <c r="A12" s="269" t="s">
        <v>157</v>
      </c>
      <c r="B12" s="269"/>
      <c r="C12" s="1"/>
      <c r="D12" s="67">
        <f>(((D11+D10+D9+D8+D7)/10915))*0.9</f>
        <v>1.4679523591388</v>
      </c>
    </row>
    <row r="13" spans="1:4" x14ac:dyDescent="0.25">
      <c r="A13" s="269" t="s">
        <v>158</v>
      </c>
      <c r="B13" s="269"/>
      <c r="C13" s="1"/>
      <c r="D13" s="1"/>
    </row>
    <row r="14" spans="1:4" x14ac:dyDescent="0.25">
      <c r="A14" s="269" t="s">
        <v>159</v>
      </c>
      <c r="B14" s="269"/>
      <c r="C14" s="1"/>
      <c r="D14" s="1"/>
    </row>
    <row r="16" spans="1:4" ht="31.5" customHeight="1" x14ac:dyDescent="0.25">
      <c r="A16" s="270"/>
      <c r="B16" s="270"/>
      <c r="C16" s="270"/>
      <c r="D16" s="270"/>
    </row>
    <row r="17" spans="1:4" ht="33.75" customHeight="1" x14ac:dyDescent="0.25">
      <c r="A17" s="270"/>
      <c r="B17" s="270"/>
      <c r="C17" s="270"/>
      <c r="D17" s="270"/>
    </row>
    <row r="18" spans="1:4" ht="33" customHeight="1" x14ac:dyDescent="0.25">
      <c r="A18" s="270"/>
      <c r="B18" s="270"/>
      <c r="C18" s="270"/>
      <c r="D18" s="270"/>
    </row>
    <row r="19" spans="1:4" x14ac:dyDescent="0.25">
      <c r="A19" s="270"/>
      <c r="B19" s="270"/>
      <c r="C19" s="270"/>
      <c r="D19" s="270"/>
    </row>
    <row r="20" spans="1:4" x14ac:dyDescent="0.25">
      <c r="A20" s="270"/>
      <c r="B20" s="270"/>
      <c r="C20" s="270"/>
      <c r="D20" s="270"/>
    </row>
  </sheetData>
  <mergeCells count="18">
    <mergeCell ref="A18:D18"/>
    <mergeCell ref="A19:D20"/>
    <mergeCell ref="A16:D16"/>
    <mergeCell ref="A17:D17"/>
    <mergeCell ref="A11:B11"/>
    <mergeCell ref="A12:B12"/>
    <mergeCell ref="A13:B13"/>
    <mergeCell ref="A14:B14"/>
    <mergeCell ref="A1:D1"/>
    <mergeCell ref="A2:D2"/>
    <mergeCell ref="A3:B3"/>
    <mergeCell ref="A10:B10"/>
    <mergeCell ref="A4:B4"/>
    <mergeCell ref="A5:B5"/>
    <mergeCell ref="A6:B6"/>
    <mergeCell ref="A7:B7"/>
    <mergeCell ref="A8:B8"/>
    <mergeCell ref="A9:B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9"/>
  <sheetViews>
    <sheetView zoomScale="120" zoomScaleNormal="120" workbookViewId="0">
      <selection activeCell="D9" sqref="D9"/>
    </sheetView>
  </sheetViews>
  <sheetFormatPr defaultRowHeight="15" x14ac:dyDescent="0.25"/>
  <cols>
    <col min="1" max="1" width="21.42578125" style="5" customWidth="1"/>
    <col min="2" max="2" width="49.42578125" style="5" customWidth="1"/>
    <col min="3" max="3" width="9.85546875" style="5" customWidth="1"/>
    <col min="4" max="4" width="14" style="44" bestFit="1" customWidth="1"/>
    <col min="5" max="16384" width="9.140625" style="5"/>
  </cols>
  <sheetData>
    <row r="1" spans="1:4" x14ac:dyDescent="0.25">
      <c r="A1" s="268" t="s">
        <v>173</v>
      </c>
      <c r="B1" s="268"/>
      <c r="C1" s="268"/>
      <c r="D1" s="268"/>
    </row>
    <row r="2" spans="1:4" x14ac:dyDescent="0.25">
      <c r="A2" s="268" t="s">
        <v>174</v>
      </c>
      <c r="B2" s="268"/>
      <c r="C2" s="268"/>
      <c r="D2" s="268"/>
    </row>
    <row r="3" spans="1:4" x14ac:dyDescent="0.25">
      <c r="A3" s="271" t="s">
        <v>175</v>
      </c>
      <c r="B3" s="271"/>
      <c r="C3" s="27" t="s">
        <v>218</v>
      </c>
      <c r="D3" s="64">
        <v>170000</v>
      </c>
    </row>
    <row r="4" spans="1:4" x14ac:dyDescent="0.25">
      <c r="A4" s="271" t="s">
        <v>214</v>
      </c>
      <c r="B4" s="271"/>
      <c r="C4" s="27" t="s">
        <v>163</v>
      </c>
      <c r="D4" s="64">
        <v>20000</v>
      </c>
    </row>
    <row r="5" spans="1:4" x14ac:dyDescent="0.25">
      <c r="A5" s="271" t="s">
        <v>215</v>
      </c>
      <c r="B5" s="271"/>
      <c r="C5" s="62"/>
      <c r="D5" s="64">
        <f>D3-D4</f>
        <v>150000</v>
      </c>
    </row>
    <row r="6" spans="1:4" x14ac:dyDescent="0.25">
      <c r="A6" s="271" t="s">
        <v>216</v>
      </c>
      <c r="B6" s="271"/>
      <c r="C6" s="27" t="s">
        <v>163</v>
      </c>
      <c r="D6" s="64">
        <f>1698+2495.5</f>
        <v>4193.5</v>
      </c>
    </row>
    <row r="7" spans="1:4" x14ac:dyDescent="0.25">
      <c r="A7" s="271" t="s">
        <v>217</v>
      </c>
      <c r="B7" s="271"/>
      <c r="C7" s="62" t="s">
        <v>163</v>
      </c>
      <c r="D7" s="64">
        <f>10915-D6</f>
        <v>6721.5</v>
      </c>
    </row>
    <row r="8" spans="1:4" x14ac:dyDescent="0.25">
      <c r="A8" s="271" t="s">
        <v>219</v>
      </c>
      <c r="B8" s="271"/>
      <c r="C8" s="27" t="s">
        <v>180</v>
      </c>
      <c r="D8" s="69">
        <f>(2.65*D6)/0.9</f>
        <v>12347.527777777777</v>
      </c>
    </row>
    <row r="9" spans="1:4" x14ac:dyDescent="0.25">
      <c r="A9" s="271" t="s">
        <v>220</v>
      </c>
      <c r="B9" s="271"/>
      <c r="C9" s="62" t="s">
        <v>180</v>
      </c>
      <c r="D9" s="69">
        <f>(D7*0.2)/0.9</f>
        <v>1493.6666666666667</v>
      </c>
    </row>
    <row r="10" spans="1:4" x14ac:dyDescent="0.25">
      <c r="A10" s="269" t="s">
        <v>172</v>
      </c>
      <c r="B10" s="269"/>
      <c r="C10" s="1"/>
      <c r="D10" s="69">
        <f>(1500/150000)*(D7+D6)</f>
        <v>109.15</v>
      </c>
    </row>
    <row r="11" spans="1:4" x14ac:dyDescent="0.25">
      <c r="A11" s="271" t="s">
        <v>221</v>
      </c>
      <c r="B11" s="271"/>
      <c r="C11" s="1"/>
      <c r="D11" s="70">
        <f>((D10+D9+D8)/10915)/0.9</f>
        <v>1.4200991952404383</v>
      </c>
    </row>
    <row r="12" spans="1:4" x14ac:dyDescent="0.25">
      <c r="A12" s="271" t="s">
        <v>158</v>
      </c>
      <c r="B12" s="271"/>
      <c r="C12" s="1"/>
      <c r="D12" s="1"/>
    </row>
    <row r="13" spans="1:4" x14ac:dyDescent="0.25">
      <c r="A13" s="269" t="s">
        <v>159</v>
      </c>
      <c r="B13" s="269"/>
      <c r="C13" s="1"/>
      <c r="D13" s="1"/>
    </row>
    <row r="15" spans="1:4" ht="31.5" customHeight="1" x14ac:dyDescent="0.25">
      <c r="A15" s="270"/>
      <c r="B15" s="270"/>
      <c r="C15" s="270"/>
      <c r="D15" s="270"/>
    </row>
    <row r="16" spans="1:4" ht="33.75" customHeight="1" x14ac:dyDescent="0.25">
      <c r="A16" s="270"/>
      <c r="B16" s="270"/>
      <c r="C16" s="270"/>
      <c r="D16" s="270"/>
    </row>
    <row r="17" spans="1:4" ht="33" customHeight="1" x14ac:dyDescent="0.25">
      <c r="A17" s="270"/>
      <c r="B17" s="270"/>
      <c r="C17" s="270"/>
      <c r="D17" s="270"/>
    </row>
    <row r="18" spans="1:4" x14ac:dyDescent="0.25">
      <c r="A18" s="270"/>
      <c r="B18" s="270"/>
      <c r="C18" s="270"/>
      <c r="D18" s="270"/>
    </row>
    <row r="19" spans="1:4" x14ac:dyDescent="0.25">
      <c r="A19" s="270"/>
      <c r="B19" s="270"/>
      <c r="C19" s="270"/>
      <c r="D19" s="270"/>
    </row>
  </sheetData>
  <mergeCells count="17">
    <mergeCell ref="A17:D17"/>
    <mergeCell ref="A18:D19"/>
    <mergeCell ref="A12:B12"/>
    <mergeCell ref="A13:B13"/>
    <mergeCell ref="A15:D15"/>
    <mergeCell ref="A16:D16"/>
    <mergeCell ref="A11:B11"/>
    <mergeCell ref="A1:D1"/>
    <mergeCell ref="A2:D2"/>
    <mergeCell ref="A3:B3"/>
    <mergeCell ref="A4:B4"/>
    <mergeCell ref="A6:B6"/>
    <mergeCell ref="A8:B8"/>
    <mergeCell ref="A10:B10"/>
    <mergeCell ref="A5:B5"/>
    <mergeCell ref="A7:B7"/>
    <mergeCell ref="A9:B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46"/>
  <sheetViews>
    <sheetView topLeftCell="A247" zoomScaleNormal="100" workbookViewId="0">
      <selection activeCell="I242" sqref="I242"/>
    </sheetView>
  </sheetViews>
  <sheetFormatPr defaultRowHeight="15" x14ac:dyDescent="0.25"/>
  <cols>
    <col min="1" max="1" width="21.42578125" style="5" customWidth="1"/>
    <col min="2" max="2" width="49.42578125" style="5" customWidth="1"/>
    <col min="3" max="3" width="9.85546875" style="5" customWidth="1"/>
    <col min="4" max="4" width="14" style="44" bestFit="1" customWidth="1"/>
    <col min="5" max="16384" width="9.140625" style="5"/>
  </cols>
  <sheetData>
    <row r="1" spans="1:4" x14ac:dyDescent="0.25">
      <c r="A1" s="272" t="s">
        <v>4</v>
      </c>
      <c r="B1" s="272"/>
    </row>
    <row r="2" spans="1:4" x14ac:dyDescent="0.25">
      <c r="A2" s="273"/>
      <c r="B2" s="273"/>
      <c r="C2" s="273"/>
    </row>
    <row r="3" spans="1:4" x14ac:dyDescent="0.25">
      <c r="A3" s="13"/>
      <c r="B3" s="274" t="s">
        <v>3</v>
      </c>
      <c r="C3" s="275"/>
      <c r="D3" s="33"/>
    </row>
    <row r="4" spans="1:4" x14ac:dyDescent="0.25">
      <c r="A4" s="276" t="s">
        <v>0</v>
      </c>
      <c r="B4" s="277"/>
      <c r="C4" s="277"/>
      <c r="D4" s="33"/>
    </row>
    <row r="5" spans="1:4" x14ac:dyDescent="0.25">
      <c r="A5" s="277" t="s">
        <v>1</v>
      </c>
      <c r="B5" s="277"/>
      <c r="C5" s="277"/>
      <c r="D5" s="33"/>
    </row>
    <row r="6" spans="1:4" x14ac:dyDescent="0.25">
      <c r="A6" s="277" t="s">
        <v>2</v>
      </c>
      <c r="B6" s="277"/>
      <c r="C6" s="277"/>
      <c r="D6" s="33"/>
    </row>
    <row r="8" spans="1:4" ht="15.75" x14ac:dyDescent="0.25">
      <c r="A8" s="279" t="s">
        <v>5</v>
      </c>
      <c r="B8" s="279"/>
      <c r="C8" s="279"/>
      <c r="D8" s="279"/>
    </row>
    <row r="9" spans="1:4" ht="15.75" x14ac:dyDescent="0.25">
      <c r="A9" s="4"/>
      <c r="B9" s="4"/>
      <c r="C9" s="4"/>
      <c r="D9" s="4"/>
    </row>
    <row r="10" spans="1:4" x14ac:dyDescent="0.25">
      <c r="A10" s="278" t="s">
        <v>6</v>
      </c>
      <c r="B10" s="278"/>
      <c r="C10" s="29" t="s">
        <v>23</v>
      </c>
      <c r="D10" s="29" t="s">
        <v>24</v>
      </c>
    </row>
    <row r="11" spans="1:4" x14ac:dyDescent="0.25">
      <c r="A11" s="31" t="s">
        <v>7</v>
      </c>
      <c r="B11" s="28" t="s">
        <v>8</v>
      </c>
      <c r="C11" s="12"/>
      <c r="D11" s="15"/>
    </row>
    <row r="12" spans="1:4" x14ac:dyDescent="0.25">
      <c r="A12" s="31" t="s">
        <v>9</v>
      </c>
      <c r="B12" s="28" t="s">
        <v>10</v>
      </c>
      <c r="C12" s="12"/>
      <c r="D12" s="15"/>
    </row>
    <row r="13" spans="1:4" x14ac:dyDescent="0.25">
      <c r="A13" s="31" t="s">
        <v>11</v>
      </c>
      <c r="B13" s="28" t="s">
        <v>12</v>
      </c>
      <c r="C13" s="12"/>
      <c r="D13" s="15"/>
    </row>
    <row r="14" spans="1:4" x14ac:dyDescent="0.25">
      <c r="A14" s="31" t="s">
        <v>13</v>
      </c>
      <c r="B14" s="28" t="s">
        <v>14</v>
      </c>
      <c r="C14" s="12"/>
      <c r="D14" s="15"/>
    </row>
    <row r="15" spans="1:4" x14ac:dyDescent="0.25">
      <c r="A15" s="31" t="s">
        <v>15</v>
      </c>
      <c r="B15" s="28" t="s">
        <v>16</v>
      </c>
      <c r="C15" s="12"/>
      <c r="D15" s="15"/>
    </row>
    <row r="16" spans="1:4" x14ac:dyDescent="0.25">
      <c r="A16" s="31" t="s">
        <v>17</v>
      </c>
      <c r="B16" s="28" t="s">
        <v>18</v>
      </c>
      <c r="C16" s="12"/>
      <c r="D16" s="15"/>
    </row>
    <row r="17" spans="1:5" x14ac:dyDescent="0.25">
      <c r="A17" s="31" t="s">
        <v>19</v>
      </c>
      <c r="B17" s="28" t="s">
        <v>20</v>
      </c>
      <c r="C17" s="12"/>
      <c r="D17" s="15"/>
    </row>
    <row r="18" spans="1:5" x14ac:dyDescent="0.25">
      <c r="A18" s="31" t="s">
        <v>21</v>
      </c>
      <c r="B18" s="28" t="s">
        <v>22</v>
      </c>
      <c r="C18" s="12"/>
      <c r="D18" s="15"/>
    </row>
    <row r="19" spans="1:5" x14ac:dyDescent="0.25">
      <c r="A19" s="7"/>
      <c r="B19" s="8"/>
      <c r="C19" s="9"/>
      <c r="D19" s="16"/>
    </row>
    <row r="21" spans="1:5" x14ac:dyDescent="0.25">
      <c r="A21" s="278" t="s">
        <v>25</v>
      </c>
      <c r="B21" s="278"/>
      <c r="C21" s="278"/>
      <c r="D21" s="29" t="s">
        <v>24</v>
      </c>
      <c r="E21" s="10"/>
    </row>
    <row r="22" spans="1:5" x14ac:dyDescent="0.25">
      <c r="A22" s="31" t="s">
        <v>7</v>
      </c>
      <c r="B22" s="277" t="s">
        <v>26</v>
      </c>
      <c r="C22" s="277"/>
      <c r="D22" s="15"/>
      <c r="E22" s="11"/>
    </row>
    <row r="23" spans="1:5" x14ac:dyDescent="0.25">
      <c r="A23" s="31" t="s">
        <v>9</v>
      </c>
      <c r="B23" s="277" t="s">
        <v>27</v>
      </c>
      <c r="C23" s="277"/>
      <c r="D23" s="15"/>
      <c r="E23" s="11"/>
    </row>
    <row r="24" spans="1:5" x14ac:dyDescent="0.25">
      <c r="A24" s="31" t="s">
        <v>11</v>
      </c>
      <c r="B24" s="277" t="s">
        <v>28</v>
      </c>
      <c r="C24" s="277"/>
      <c r="D24" s="15"/>
      <c r="E24" s="11"/>
    </row>
    <row r="25" spans="1:5" x14ac:dyDescent="0.25">
      <c r="A25" s="31" t="s">
        <v>13</v>
      </c>
      <c r="B25" s="277" t="s">
        <v>29</v>
      </c>
      <c r="C25" s="277"/>
      <c r="D25" s="15"/>
      <c r="E25" s="11"/>
    </row>
    <row r="26" spans="1:5" x14ac:dyDescent="0.25">
      <c r="A26" s="31" t="s">
        <v>15</v>
      </c>
      <c r="B26" s="277" t="s">
        <v>30</v>
      </c>
      <c r="C26" s="277"/>
      <c r="D26" s="15"/>
      <c r="E26" s="11"/>
    </row>
    <row r="27" spans="1:5" x14ac:dyDescent="0.25">
      <c r="A27" s="31" t="s">
        <v>17</v>
      </c>
      <c r="B27" s="277" t="s">
        <v>31</v>
      </c>
      <c r="C27" s="277"/>
      <c r="D27" s="15"/>
      <c r="E27" s="11"/>
    </row>
    <row r="28" spans="1:5" x14ac:dyDescent="0.25">
      <c r="A28" s="31" t="s">
        <v>19</v>
      </c>
      <c r="B28" s="277" t="s">
        <v>22</v>
      </c>
      <c r="C28" s="277"/>
      <c r="D28" s="15"/>
      <c r="E28" s="11"/>
    </row>
    <row r="31" spans="1:5" x14ac:dyDescent="0.25">
      <c r="A31" s="278" t="s">
        <v>32</v>
      </c>
      <c r="B31" s="278"/>
      <c r="C31" s="278"/>
      <c r="D31" s="29" t="s">
        <v>24</v>
      </c>
      <c r="E31" s="11"/>
    </row>
    <row r="32" spans="1:5" x14ac:dyDescent="0.25">
      <c r="A32" s="31" t="s">
        <v>7</v>
      </c>
      <c r="B32" s="277" t="s">
        <v>33</v>
      </c>
      <c r="C32" s="277"/>
      <c r="D32" s="15"/>
      <c r="E32" s="11"/>
    </row>
    <row r="33" spans="1:5" x14ac:dyDescent="0.25">
      <c r="A33" s="31" t="s">
        <v>9</v>
      </c>
      <c r="B33" s="277" t="s">
        <v>34</v>
      </c>
      <c r="C33" s="277"/>
      <c r="D33" s="15"/>
      <c r="E33" s="11"/>
    </row>
    <row r="34" spans="1:5" x14ac:dyDescent="0.25">
      <c r="A34" s="31" t="s">
        <v>11</v>
      </c>
      <c r="B34" s="277" t="s">
        <v>35</v>
      </c>
      <c r="C34" s="277"/>
      <c r="D34" s="15"/>
      <c r="E34" s="11"/>
    </row>
    <row r="35" spans="1:5" x14ac:dyDescent="0.25">
      <c r="A35" s="31" t="s">
        <v>13</v>
      </c>
      <c r="B35" s="277" t="s">
        <v>36</v>
      </c>
      <c r="C35" s="277"/>
      <c r="D35" s="15"/>
      <c r="E35" s="11"/>
    </row>
    <row r="36" spans="1:5" x14ac:dyDescent="0.25">
      <c r="A36" s="277" t="s">
        <v>37</v>
      </c>
      <c r="B36" s="277"/>
      <c r="C36" s="277"/>
      <c r="D36" s="15"/>
      <c r="E36" s="11"/>
    </row>
    <row r="37" spans="1:5" x14ac:dyDescent="0.25">
      <c r="A37" s="280" t="s">
        <v>38</v>
      </c>
      <c r="B37" s="280"/>
      <c r="C37" s="280"/>
      <c r="D37" s="280"/>
      <c r="E37" s="10"/>
    </row>
    <row r="38" spans="1:5" x14ac:dyDescent="0.25">
      <c r="A38" s="14"/>
      <c r="B38" s="14"/>
      <c r="C38" s="14"/>
      <c r="D38" s="6"/>
      <c r="E38" s="10"/>
    </row>
    <row r="40" spans="1:5" x14ac:dyDescent="0.25">
      <c r="A40" s="278" t="s">
        <v>39</v>
      </c>
      <c r="B40" s="278"/>
      <c r="C40" s="278" t="s">
        <v>23</v>
      </c>
      <c r="D40" s="278" t="s">
        <v>24</v>
      </c>
    </row>
    <row r="41" spans="1:5" x14ac:dyDescent="0.25">
      <c r="A41" s="278" t="s">
        <v>40</v>
      </c>
      <c r="B41" s="278"/>
      <c r="C41" s="278"/>
      <c r="D41" s="278"/>
    </row>
    <row r="42" spans="1:5" x14ac:dyDescent="0.25">
      <c r="A42" s="31">
        <v>1</v>
      </c>
      <c r="B42" s="28" t="s">
        <v>41</v>
      </c>
      <c r="C42" s="12"/>
      <c r="D42" s="15"/>
    </row>
    <row r="43" spans="1:5" x14ac:dyDescent="0.25">
      <c r="A43" s="31">
        <v>2</v>
      </c>
      <c r="B43" s="28" t="s">
        <v>42</v>
      </c>
      <c r="C43" s="12"/>
      <c r="D43" s="15"/>
    </row>
    <row r="44" spans="1:5" x14ac:dyDescent="0.25">
      <c r="A44" s="31">
        <v>3</v>
      </c>
      <c r="B44" s="28" t="s">
        <v>43</v>
      </c>
      <c r="C44" s="12"/>
      <c r="D44" s="15"/>
    </row>
    <row r="45" spans="1:5" x14ac:dyDescent="0.25">
      <c r="A45" s="31">
        <v>4</v>
      </c>
      <c r="B45" s="28" t="s">
        <v>44</v>
      </c>
      <c r="C45" s="12"/>
      <c r="D45" s="15"/>
    </row>
    <row r="46" spans="1:5" x14ac:dyDescent="0.25">
      <c r="A46" s="31">
        <v>5</v>
      </c>
      <c r="B46" s="28" t="s">
        <v>45</v>
      </c>
      <c r="C46" s="12"/>
      <c r="D46" s="15"/>
    </row>
    <row r="47" spans="1:5" x14ac:dyDescent="0.25">
      <c r="A47" s="31">
        <v>6</v>
      </c>
      <c r="B47" s="28" t="s">
        <v>46</v>
      </c>
      <c r="C47" s="12"/>
      <c r="D47" s="15"/>
    </row>
    <row r="48" spans="1:5" x14ac:dyDescent="0.25">
      <c r="A48" s="31">
        <v>7</v>
      </c>
      <c r="B48" s="28" t="s">
        <v>47</v>
      </c>
      <c r="C48" s="12"/>
      <c r="D48" s="15"/>
    </row>
    <row r="49" spans="1:4" x14ac:dyDescent="0.25">
      <c r="A49" s="31">
        <v>8</v>
      </c>
      <c r="B49" s="28" t="s">
        <v>48</v>
      </c>
      <c r="C49" s="12"/>
      <c r="D49" s="15"/>
    </row>
    <row r="50" spans="1:4" x14ac:dyDescent="0.25">
      <c r="A50" s="285" t="s">
        <v>49</v>
      </c>
      <c r="B50" s="285"/>
      <c r="C50" s="3"/>
      <c r="D50" s="33"/>
    </row>
    <row r="51" spans="1:4" x14ac:dyDescent="0.25">
      <c r="A51" s="10"/>
      <c r="B51" s="10"/>
    </row>
    <row r="53" spans="1:4" x14ac:dyDescent="0.25">
      <c r="A53" s="268" t="s">
        <v>50</v>
      </c>
      <c r="B53" s="268"/>
      <c r="C53" s="29" t="s">
        <v>23</v>
      </c>
      <c r="D53" s="27" t="s">
        <v>24</v>
      </c>
    </row>
    <row r="54" spans="1:4" x14ac:dyDescent="0.25">
      <c r="A54" s="286">
        <v>9</v>
      </c>
      <c r="B54" s="39" t="s">
        <v>51</v>
      </c>
      <c r="C54" s="282"/>
      <c r="D54" s="283"/>
    </row>
    <row r="55" spans="1:4" x14ac:dyDescent="0.25">
      <c r="A55" s="286"/>
      <c r="B55" s="40" t="s">
        <v>52</v>
      </c>
      <c r="C55" s="282"/>
      <c r="D55" s="283"/>
    </row>
    <row r="56" spans="1:4" x14ac:dyDescent="0.25">
      <c r="A56" s="281">
        <v>10</v>
      </c>
      <c r="B56" s="39" t="s">
        <v>53</v>
      </c>
      <c r="C56" s="282"/>
      <c r="D56" s="283"/>
    </row>
    <row r="57" spans="1:4" x14ac:dyDescent="0.25">
      <c r="A57" s="281"/>
      <c r="B57" s="40" t="s">
        <v>54</v>
      </c>
      <c r="C57" s="282"/>
      <c r="D57" s="283"/>
    </row>
    <row r="58" spans="1:4" x14ac:dyDescent="0.25">
      <c r="A58" s="281">
        <v>11</v>
      </c>
      <c r="B58" s="39" t="s">
        <v>55</v>
      </c>
      <c r="C58" s="282"/>
      <c r="D58" s="283"/>
    </row>
    <row r="59" spans="1:4" x14ac:dyDescent="0.25">
      <c r="A59" s="281"/>
      <c r="B59" s="40" t="s">
        <v>56</v>
      </c>
      <c r="C59" s="282"/>
      <c r="D59" s="283"/>
    </row>
    <row r="60" spans="1:4" x14ac:dyDescent="0.25">
      <c r="A60" s="281">
        <v>12</v>
      </c>
      <c r="B60" s="28" t="s">
        <v>57</v>
      </c>
      <c r="C60" s="281"/>
      <c r="D60" s="284"/>
    </row>
    <row r="61" spans="1:4" x14ac:dyDescent="0.25">
      <c r="A61" s="281"/>
      <c r="B61" s="40" t="s">
        <v>58</v>
      </c>
      <c r="C61" s="281"/>
      <c r="D61" s="284"/>
    </row>
    <row r="62" spans="1:4" x14ac:dyDescent="0.25">
      <c r="A62" s="281">
        <v>13</v>
      </c>
      <c r="B62" s="39" t="s">
        <v>59</v>
      </c>
      <c r="C62" s="282"/>
      <c r="D62" s="289"/>
    </row>
    <row r="63" spans="1:4" x14ac:dyDescent="0.25">
      <c r="A63" s="281"/>
      <c r="B63" s="40" t="s">
        <v>60</v>
      </c>
      <c r="C63" s="282"/>
      <c r="D63" s="290"/>
    </row>
    <row r="64" spans="1:4" x14ac:dyDescent="0.25">
      <c r="A64" s="281">
        <v>14</v>
      </c>
      <c r="B64" s="39" t="s">
        <v>61</v>
      </c>
      <c r="C64" s="282"/>
      <c r="D64" s="284"/>
    </row>
    <row r="65" spans="1:4" x14ac:dyDescent="0.25">
      <c r="A65" s="281"/>
      <c r="B65" s="40" t="s">
        <v>63</v>
      </c>
      <c r="C65" s="282"/>
      <c r="D65" s="284"/>
    </row>
    <row r="66" spans="1:4" x14ac:dyDescent="0.25">
      <c r="A66" s="281">
        <v>15</v>
      </c>
      <c r="B66" s="39" t="s">
        <v>64</v>
      </c>
      <c r="C66" s="282"/>
      <c r="D66" s="287"/>
    </row>
    <row r="67" spans="1:4" ht="26.25" customHeight="1" x14ac:dyDescent="0.25">
      <c r="A67" s="281"/>
      <c r="B67" s="40" t="s">
        <v>202</v>
      </c>
      <c r="C67" s="282"/>
      <c r="D67" s="287"/>
    </row>
    <row r="68" spans="1:4" x14ac:dyDescent="0.25">
      <c r="A68" s="288">
        <v>16</v>
      </c>
      <c r="B68" s="39" t="s">
        <v>65</v>
      </c>
      <c r="C68" s="282"/>
      <c r="D68" s="287"/>
    </row>
    <row r="69" spans="1:4" x14ac:dyDescent="0.25">
      <c r="A69" s="288"/>
      <c r="B69" s="28" t="s">
        <v>66</v>
      </c>
      <c r="C69" s="282"/>
      <c r="D69" s="287"/>
    </row>
    <row r="70" spans="1:4" x14ac:dyDescent="0.25">
      <c r="A70" s="285" t="s">
        <v>62</v>
      </c>
      <c r="B70" s="285"/>
      <c r="C70" s="3"/>
      <c r="D70" s="43"/>
    </row>
    <row r="73" spans="1:4" x14ac:dyDescent="0.25">
      <c r="A73" s="278" t="s">
        <v>67</v>
      </c>
      <c r="B73" s="278"/>
      <c r="C73" s="29" t="s">
        <v>23</v>
      </c>
      <c r="D73" s="27" t="s">
        <v>24</v>
      </c>
    </row>
    <row r="74" spans="1:4" x14ac:dyDescent="0.25">
      <c r="A74" s="295">
        <v>17</v>
      </c>
      <c r="B74" s="48" t="s">
        <v>68</v>
      </c>
      <c r="C74" s="210"/>
      <c r="D74" s="199"/>
    </row>
    <row r="75" spans="1:4" x14ac:dyDescent="0.25">
      <c r="A75" s="296"/>
      <c r="B75" s="46" t="s">
        <v>69</v>
      </c>
      <c r="C75" s="210"/>
      <c r="D75" s="199"/>
    </row>
    <row r="76" spans="1:4" x14ac:dyDescent="0.25">
      <c r="A76" s="281">
        <v>18</v>
      </c>
      <c r="B76" s="47" t="s">
        <v>70</v>
      </c>
      <c r="C76" s="297"/>
      <c r="D76" s="293"/>
    </row>
    <row r="77" spans="1:4" x14ac:dyDescent="0.25">
      <c r="A77" s="281"/>
      <c r="B77" s="46" t="s">
        <v>71</v>
      </c>
      <c r="C77" s="297"/>
      <c r="D77" s="293"/>
    </row>
    <row r="78" spans="1:4" x14ac:dyDescent="0.25">
      <c r="A78" s="31">
        <v>19</v>
      </c>
      <c r="B78" s="49" t="s">
        <v>72</v>
      </c>
      <c r="C78" s="41"/>
      <c r="D78" s="42"/>
    </row>
    <row r="79" spans="1:4" x14ac:dyDescent="0.25">
      <c r="A79" s="281" t="s">
        <v>73</v>
      </c>
      <c r="B79" s="291" t="s">
        <v>97</v>
      </c>
      <c r="C79" s="292"/>
      <c r="D79" s="293"/>
    </row>
    <row r="80" spans="1:4" x14ac:dyDescent="0.25">
      <c r="A80" s="281"/>
      <c r="B80" s="276"/>
      <c r="C80" s="214"/>
      <c r="D80" s="293"/>
    </row>
    <row r="81" spans="1:4" x14ac:dyDescent="0.25">
      <c r="A81" s="281"/>
      <c r="B81" s="294" t="s">
        <v>96</v>
      </c>
      <c r="C81" s="284"/>
      <c r="D81" s="284"/>
    </row>
    <row r="82" spans="1:4" x14ac:dyDescent="0.25">
      <c r="A82" s="281"/>
      <c r="B82" s="294"/>
      <c r="C82" s="284"/>
      <c r="D82" s="284"/>
    </row>
    <row r="83" spans="1:4" x14ac:dyDescent="0.25">
      <c r="A83" s="285" t="s">
        <v>74</v>
      </c>
      <c r="B83" s="285"/>
      <c r="C83" s="3"/>
      <c r="D83" s="33"/>
    </row>
    <row r="86" spans="1:4" x14ac:dyDescent="0.25">
      <c r="A86" s="268" t="s">
        <v>75</v>
      </c>
      <c r="B86" s="268"/>
      <c r="C86" s="27" t="s">
        <v>23</v>
      </c>
      <c r="D86" s="27" t="s">
        <v>24</v>
      </c>
    </row>
    <row r="87" spans="1:4" x14ac:dyDescent="0.25">
      <c r="A87" s="286">
        <v>20</v>
      </c>
      <c r="B87" s="277" t="s">
        <v>95</v>
      </c>
      <c r="C87" s="199"/>
      <c r="D87" s="199"/>
    </row>
    <row r="88" spans="1:4" x14ac:dyDescent="0.25">
      <c r="A88" s="286"/>
      <c r="B88" s="277"/>
      <c r="C88" s="199"/>
      <c r="D88" s="199"/>
    </row>
    <row r="91" spans="1:4" x14ac:dyDescent="0.25">
      <c r="A91" s="268" t="s">
        <v>76</v>
      </c>
      <c r="B91" s="268"/>
      <c r="C91" s="268"/>
      <c r="D91" s="1"/>
    </row>
    <row r="92" spans="1:4" x14ac:dyDescent="0.25">
      <c r="A92" s="286">
        <v>21</v>
      </c>
      <c r="B92" s="298" t="s">
        <v>77</v>
      </c>
      <c r="C92" s="298"/>
      <c r="D92" s="293"/>
    </row>
    <row r="93" spans="1:4" x14ac:dyDescent="0.25">
      <c r="A93" s="286"/>
      <c r="B93" s="299" t="s">
        <v>78</v>
      </c>
      <c r="C93" s="299"/>
      <c r="D93" s="293"/>
    </row>
    <row r="94" spans="1:4" x14ac:dyDescent="0.25">
      <c r="A94" s="271" t="s">
        <v>79</v>
      </c>
      <c r="B94" s="271"/>
      <c r="C94" s="27" t="s">
        <v>23</v>
      </c>
      <c r="D94" s="27" t="s">
        <v>24</v>
      </c>
    </row>
    <row r="95" spans="1:4" ht="15" customHeight="1" x14ac:dyDescent="0.25">
      <c r="A95" s="271"/>
      <c r="B95" s="271"/>
      <c r="C95" s="1"/>
      <c r="D95" s="1"/>
    </row>
    <row r="98" spans="1:4" x14ac:dyDescent="0.25">
      <c r="A98" s="268" t="s">
        <v>80</v>
      </c>
      <c r="B98" s="268"/>
      <c r="C98" s="268"/>
      <c r="D98" s="268"/>
    </row>
    <row r="99" spans="1:4" x14ac:dyDescent="0.25">
      <c r="A99" s="286" t="s">
        <v>81</v>
      </c>
      <c r="B99" s="286"/>
      <c r="C99" s="286"/>
      <c r="D99" s="286"/>
    </row>
    <row r="100" spans="1:4" x14ac:dyDescent="0.25">
      <c r="A100" s="286" t="s">
        <v>82</v>
      </c>
      <c r="B100" s="286"/>
      <c r="C100" s="286"/>
      <c r="D100" s="37" t="s">
        <v>24</v>
      </c>
    </row>
    <row r="101" spans="1:4" x14ac:dyDescent="0.25">
      <c r="A101" s="304" t="s">
        <v>34</v>
      </c>
      <c r="B101" s="304"/>
      <c r="C101" s="304"/>
      <c r="D101" s="38"/>
    </row>
    <row r="102" spans="1:4" ht="15.75" customHeight="1" x14ac:dyDescent="0.25">
      <c r="A102" s="304" t="s">
        <v>83</v>
      </c>
      <c r="B102" s="304"/>
      <c r="C102" s="304"/>
      <c r="D102" s="38"/>
    </row>
    <row r="103" spans="1:4" ht="15.75" customHeight="1" x14ac:dyDescent="0.25">
      <c r="A103" s="304" t="s">
        <v>84</v>
      </c>
      <c r="B103" s="304"/>
      <c r="C103" s="304"/>
      <c r="D103" s="38"/>
    </row>
    <row r="105" spans="1:4" ht="15.75" x14ac:dyDescent="0.25">
      <c r="A105" s="300" t="s">
        <v>85</v>
      </c>
      <c r="B105" s="300"/>
    </row>
    <row r="107" spans="1:4" x14ac:dyDescent="0.25">
      <c r="A107" s="301" t="s">
        <v>86</v>
      </c>
      <c r="B107" s="301"/>
      <c r="C107" s="27" t="s">
        <v>23</v>
      </c>
      <c r="D107" s="27" t="s">
        <v>24</v>
      </c>
    </row>
    <row r="108" spans="1:4" ht="22.5" customHeight="1" x14ac:dyDescent="0.25">
      <c r="A108" s="302" t="s">
        <v>87</v>
      </c>
      <c r="B108" s="302"/>
      <c r="C108" s="199"/>
      <c r="D108" s="199"/>
    </row>
    <row r="109" spans="1:4" x14ac:dyDescent="0.25">
      <c r="A109" s="303" t="s">
        <v>88</v>
      </c>
      <c r="B109" s="303"/>
      <c r="C109" s="199"/>
      <c r="D109" s="199"/>
    </row>
    <row r="110" spans="1:4" x14ac:dyDescent="0.25">
      <c r="A110" s="302" t="s">
        <v>89</v>
      </c>
      <c r="B110" s="302"/>
      <c r="C110" s="199"/>
      <c r="D110" s="199"/>
    </row>
    <row r="111" spans="1:4" ht="22.5" customHeight="1" x14ac:dyDescent="0.25">
      <c r="A111" s="305" t="s">
        <v>87</v>
      </c>
      <c r="B111" s="305"/>
      <c r="C111" s="199"/>
      <c r="D111" s="199"/>
    </row>
    <row r="112" spans="1:4" x14ac:dyDescent="0.25">
      <c r="A112" s="303" t="s">
        <v>88</v>
      </c>
      <c r="B112" s="303"/>
      <c r="C112" s="199"/>
      <c r="D112" s="199"/>
    </row>
    <row r="113" spans="1:4" x14ac:dyDescent="0.25">
      <c r="A113" s="302" t="s">
        <v>89</v>
      </c>
      <c r="B113" s="302"/>
      <c r="C113" s="199"/>
      <c r="D113" s="199"/>
    </row>
    <row r="114" spans="1:4" ht="24" customHeight="1" x14ac:dyDescent="0.25">
      <c r="A114" s="281" t="s">
        <v>7</v>
      </c>
      <c r="B114" s="277" t="s">
        <v>203</v>
      </c>
      <c r="C114" s="284"/>
      <c r="D114" s="284"/>
    </row>
    <row r="115" spans="1:4" x14ac:dyDescent="0.25">
      <c r="A115" s="281"/>
      <c r="B115" s="277"/>
      <c r="C115" s="284"/>
      <c r="D115" s="284"/>
    </row>
    <row r="116" spans="1:4" x14ac:dyDescent="0.25">
      <c r="A116" s="303" t="s">
        <v>92</v>
      </c>
      <c r="B116" s="303"/>
      <c r="C116" s="284"/>
      <c r="D116" s="284"/>
    </row>
    <row r="117" spans="1:4" x14ac:dyDescent="0.25">
      <c r="A117" s="303" t="s">
        <v>94</v>
      </c>
      <c r="B117" s="303"/>
      <c r="C117" s="284"/>
      <c r="D117" s="284"/>
    </row>
    <row r="118" spans="1:4" x14ac:dyDescent="0.25">
      <c r="A118" s="307" t="s">
        <v>93</v>
      </c>
      <c r="B118" s="307"/>
      <c r="C118" s="284"/>
      <c r="D118" s="284"/>
    </row>
    <row r="119" spans="1:4" x14ac:dyDescent="0.25">
      <c r="A119" s="31" t="s">
        <v>9</v>
      </c>
      <c r="B119" s="28" t="s">
        <v>90</v>
      </c>
      <c r="C119" s="3"/>
      <c r="D119" s="33"/>
    </row>
    <row r="120" spans="1:4" x14ac:dyDescent="0.25">
      <c r="A120" s="308" t="s">
        <v>91</v>
      </c>
      <c r="B120" s="308"/>
      <c r="C120" s="3"/>
      <c r="D120" s="33"/>
    </row>
    <row r="122" spans="1:4" ht="15.75" x14ac:dyDescent="0.25">
      <c r="A122" s="300" t="s">
        <v>98</v>
      </c>
      <c r="B122" s="300"/>
    </row>
    <row r="124" spans="1:4" ht="15" customHeight="1" x14ac:dyDescent="0.25">
      <c r="A124" s="281" t="s">
        <v>110</v>
      </c>
      <c r="B124" s="281"/>
      <c r="C124" s="281"/>
      <c r="D124" s="281"/>
    </row>
    <row r="125" spans="1:4" ht="24" customHeight="1" x14ac:dyDescent="0.25">
      <c r="A125" s="281"/>
      <c r="B125" s="281"/>
      <c r="C125" s="281"/>
      <c r="D125" s="281"/>
    </row>
    <row r="126" spans="1:4" ht="15.75" customHeight="1" x14ac:dyDescent="0.25">
      <c r="A126" s="281" t="s">
        <v>99</v>
      </c>
      <c r="B126" s="281"/>
      <c r="C126" s="29" t="s">
        <v>23</v>
      </c>
      <c r="D126" s="32" t="s">
        <v>24</v>
      </c>
    </row>
    <row r="127" spans="1:4" x14ac:dyDescent="0.25">
      <c r="A127" s="51"/>
      <c r="B127" s="45" t="s">
        <v>101</v>
      </c>
      <c r="C127" s="3"/>
      <c r="D127" s="12"/>
    </row>
    <row r="128" spans="1:4" x14ac:dyDescent="0.25">
      <c r="A128" s="52" t="s">
        <v>7</v>
      </c>
      <c r="B128" s="30" t="s">
        <v>102</v>
      </c>
      <c r="C128" s="28"/>
      <c r="D128" s="12"/>
    </row>
    <row r="129" spans="1:4" ht="23.25" customHeight="1" x14ac:dyDescent="0.25">
      <c r="A129" s="53" t="s">
        <v>100</v>
      </c>
      <c r="B129" s="281" t="s">
        <v>109</v>
      </c>
      <c r="C129" s="284"/>
      <c r="D129" s="306"/>
    </row>
    <row r="130" spans="1:4" ht="12.75" customHeight="1" x14ac:dyDescent="0.25">
      <c r="A130" s="54"/>
      <c r="B130" s="281"/>
      <c r="C130" s="284"/>
      <c r="D130" s="306"/>
    </row>
    <row r="131" spans="1:4" ht="15.75" customHeight="1" x14ac:dyDescent="0.25">
      <c r="A131" s="55" t="s">
        <v>9</v>
      </c>
      <c r="B131" s="28" t="s">
        <v>104</v>
      </c>
      <c r="C131" s="3"/>
      <c r="D131" s="12"/>
    </row>
    <row r="132" spans="1:4" ht="26.25" customHeight="1" x14ac:dyDescent="0.25">
      <c r="A132" s="53" t="s">
        <v>103</v>
      </c>
      <c r="B132" s="28" t="s">
        <v>105</v>
      </c>
      <c r="C132" s="3"/>
      <c r="D132" s="34"/>
    </row>
    <row r="133" spans="1:4" x14ac:dyDescent="0.25">
      <c r="A133" s="29" t="s">
        <v>11</v>
      </c>
      <c r="B133" s="50" t="s">
        <v>106</v>
      </c>
      <c r="C133" s="3"/>
      <c r="D133" s="12"/>
    </row>
    <row r="134" spans="1:4" ht="15.75" customHeight="1" x14ac:dyDescent="0.25">
      <c r="A134" s="315" t="s">
        <v>107</v>
      </c>
      <c r="B134" s="316"/>
      <c r="C134" s="28"/>
      <c r="D134" s="12"/>
    </row>
    <row r="135" spans="1:4" ht="15.75" customHeight="1" x14ac:dyDescent="0.25">
      <c r="A135" s="281" t="s">
        <v>108</v>
      </c>
      <c r="B135" s="35" t="s">
        <v>111</v>
      </c>
      <c r="C135" s="317"/>
      <c r="D135" s="317"/>
    </row>
    <row r="136" spans="1:4" x14ac:dyDescent="0.25">
      <c r="A136" s="281"/>
      <c r="B136" s="36" t="s">
        <v>112</v>
      </c>
      <c r="C136" s="317"/>
      <c r="D136" s="317"/>
    </row>
    <row r="139" spans="1:4" ht="15.75" x14ac:dyDescent="0.25">
      <c r="A139" s="17" t="s">
        <v>113</v>
      </c>
      <c r="B139" s="2"/>
      <c r="C139" s="2"/>
      <c r="D139" s="2"/>
    </row>
    <row r="140" spans="1:4" ht="15.75" x14ac:dyDescent="0.25">
      <c r="A140" s="17"/>
      <c r="B140" s="2"/>
      <c r="C140" s="2"/>
      <c r="D140" s="2"/>
    </row>
    <row r="141" spans="1:4" x14ac:dyDescent="0.25">
      <c r="A141" s="31" t="s">
        <v>114</v>
      </c>
      <c r="B141" s="318" t="s">
        <v>115</v>
      </c>
      <c r="C141" s="318"/>
      <c r="D141" s="19" t="s">
        <v>116</v>
      </c>
    </row>
    <row r="142" spans="1:4" x14ac:dyDescent="0.25">
      <c r="A142" s="31" t="s">
        <v>7</v>
      </c>
      <c r="B142" s="28" t="s">
        <v>117</v>
      </c>
      <c r="C142" s="34"/>
      <c r="D142" s="34"/>
    </row>
    <row r="143" spans="1:4" x14ac:dyDescent="0.25">
      <c r="A143" s="31" t="s">
        <v>9</v>
      </c>
      <c r="B143" s="28" t="s">
        <v>118</v>
      </c>
      <c r="C143" s="28" t="s">
        <v>23</v>
      </c>
      <c r="D143" s="34"/>
    </row>
    <row r="144" spans="1:4" x14ac:dyDescent="0.25">
      <c r="A144" s="31" t="s">
        <v>11</v>
      </c>
      <c r="B144" s="28" t="s">
        <v>119</v>
      </c>
      <c r="C144" s="34"/>
      <c r="D144" s="34"/>
    </row>
    <row r="145" spans="1:4" x14ac:dyDescent="0.25">
      <c r="A145" s="31" t="s">
        <v>13</v>
      </c>
      <c r="B145" s="28" t="s">
        <v>120</v>
      </c>
      <c r="C145" s="34"/>
      <c r="D145" s="34"/>
    </row>
    <row r="146" spans="1:4" x14ac:dyDescent="0.25">
      <c r="A146" s="34"/>
      <c r="B146" s="28" t="s">
        <v>121</v>
      </c>
      <c r="C146" s="34"/>
      <c r="D146" s="34"/>
    </row>
    <row r="147" spans="1:4" ht="15.75" x14ac:dyDescent="0.25">
      <c r="A147" s="18"/>
      <c r="B147" s="2"/>
      <c r="C147" s="2"/>
      <c r="D147" s="2"/>
    </row>
    <row r="148" spans="1:4" ht="57.75" customHeight="1" x14ac:dyDescent="0.25">
      <c r="A148" s="319" t="s">
        <v>122</v>
      </c>
      <c r="B148" s="319"/>
      <c r="C148" s="319"/>
      <c r="D148" s="319"/>
    </row>
    <row r="149" spans="1:4" ht="46.5" customHeight="1" x14ac:dyDescent="0.25">
      <c r="A149" s="309" t="s">
        <v>123</v>
      </c>
      <c r="B149" s="309"/>
      <c r="C149" s="309"/>
      <c r="D149" s="309"/>
    </row>
    <row r="150" spans="1:4" ht="76.5" customHeight="1" x14ac:dyDescent="0.25">
      <c r="A150" s="310" t="s">
        <v>124</v>
      </c>
      <c r="B150" s="310"/>
      <c r="C150" s="310"/>
      <c r="D150" s="310"/>
    </row>
    <row r="153" spans="1:4" ht="15.75" x14ac:dyDescent="0.25">
      <c r="A153" s="20" t="s">
        <v>125</v>
      </c>
      <c r="B153" s="2"/>
      <c r="C153" s="2"/>
    </row>
    <row r="154" spans="1:4" x14ac:dyDescent="0.25">
      <c r="A154" s="21"/>
      <c r="B154" s="2"/>
      <c r="C154" s="2"/>
    </row>
    <row r="155" spans="1:4" ht="15" customHeight="1" x14ac:dyDescent="0.25">
      <c r="A155" s="311" t="s">
        <v>126</v>
      </c>
      <c r="B155" s="312"/>
      <c r="C155" s="313"/>
      <c r="D155" s="12"/>
    </row>
    <row r="156" spans="1:4" x14ac:dyDescent="0.25">
      <c r="A156" s="12"/>
      <c r="B156" s="311" t="s">
        <v>127</v>
      </c>
      <c r="C156" s="313"/>
      <c r="D156" s="22" t="s">
        <v>128</v>
      </c>
    </row>
    <row r="157" spans="1:4" x14ac:dyDescent="0.25">
      <c r="A157" s="31" t="s">
        <v>7</v>
      </c>
      <c r="B157" s="314" t="s">
        <v>129</v>
      </c>
      <c r="C157" s="294"/>
      <c r="D157" s="12"/>
    </row>
    <row r="158" spans="1:4" x14ac:dyDescent="0.25">
      <c r="A158" s="31" t="s">
        <v>9</v>
      </c>
      <c r="B158" s="314" t="s">
        <v>130</v>
      </c>
      <c r="C158" s="294"/>
      <c r="D158" s="12"/>
    </row>
    <row r="159" spans="1:4" x14ac:dyDescent="0.25">
      <c r="A159" s="31" t="s">
        <v>11</v>
      </c>
      <c r="B159" s="314" t="s">
        <v>131</v>
      </c>
      <c r="C159" s="294"/>
      <c r="D159" s="12"/>
    </row>
    <row r="160" spans="1:4" x14ac:dyDescent="0.25">
      <c r="A160" s="31" t="s">
        <v>13</v>
      </c>
      <c r="B160" s="314" t="s">
        <v>99</v>
      </c>
      <c r="C160" s="294"/>
      <c r="D160" s="12"/>
    </row>
    <row r="161" spans="1:4" x14ac:dyDescent="0.25">
      <c r="A161" s="31" t="s">
        <v>15</v>
      </c>
      <c r="B161" s="314" t="s">
        <v>132</v>
      </c>
      <c r="C161" s="294"/>
      <c r="D161" s="12"/>
    </row>
    <row r="162" spans="1:4" ht="24" customHeight="1" x14ac:dyDescent="0.25">
      <c r="A162" s="31" t="s">
        <v>17</v>
      </c>
      <c r="B162" s="314" t="s">
        <v>133</v>
      </c>
      <c r="C162" s="294"/>
      <c r="D162" s="12"/>
    </row>
    <row r="163" spans="1:4" x14ac:dyDescent="0.25">
      <c r="A163" s="31" t="s">
        <v>19</v>
      </c>
      <c r="B163" s="314" t="s">
        <v>134</v>
      </c>
      <c r="C163" s="294"/>
      <c r="D163" s="12"/>
    </row>
    <row r="164" spans="1:4" ht="24" customHeight="1" x14ac:dyDescent="0.25">
      <c r="A164" s="31" t="s">
        <v>21</v>
      </c>
      <c r="B164" s="314" t="s">
        <v>135</v>
      </c>
      <c r="C164" s="294"/>
      <c r="D164" s="12"/>
    </row>
    <row r="167" spans="1:4" ht="15.75" customHeight="1" x14ac:dyDescent="0.25">
      <c r="A167" s="320" t="s">
        <v>136</v>
      </c>
      <c r="B167" s="320"/>
      <c r="C167" s="320"/>
      <c r="D167" s="320"/>
    </row>
    <row r="168" spans="1:4" ht="30" customHeight="1" x14ac:dyDescent="0.25">
      <c r="A168" s="320"/>
      <c r="B168" s="320"/>
      <c r="C168" s="320"/>
      <c r="D168" s="320"/>
    </row>
    <row r="169" spans="1:4" ht="30" customHeight="1" x14ac:dyDescent="0.25">
      <c r="A169" s="4"/>
      <c r="B169" s="4"/>
      <c r="C169" s="4"/>
      <c r="D169" s="4"/>
    </row>
    <row r="170" spans="1:4" x14ac:dyDescent="0.25">
      <c r="A170" s="268" t="s">
        <v>137</v>
      </c>
      <c r="B170" s="268"/>
      <c r="C170" s="268"/>
      <c r="D170" s="268"/>
    </row>
    <row r="171" spans="1:4" x14ac:dyDescent="0.25">
      <c r="A171" s="268" t="s">
        <v>138</v>
      </c>
      <c r="B171" s="268"/>
      <c r="C171" s="268"/>
      <c r="D171" s="268"/>
    </row>
    <row r="172" spans="1:4" x14ac:dyDescent="0.25">
      <c r="A172" s="268" t="s">
        <v>139</v>
      </c>
      <c r="B172" s="268"/>
      <c r="C172" s="27" t="s">
        <v>140</v>
      </c>
      <c r="D172" s="1"/>
    </row>
    <row r="173" spans="1:4" x14ac:dyDescent="0.25">
      <c r="A173" s="269" t="s">
        <v>141</v>
      </c>
      <c r="B173" s="269"/>
      <c r="C173" s="27" t="s">
        <v>140</v>
      </c>
      <c r="D173" s="1"/>
    </row>
    <row r="174" spans="1:4" x14ac:dyDescent="0.25">
      <c r="A174" s="269" t="s">
        <v>142</v>
      </c>
      <c r="B174" s="269"/>
      <c r="C174" s="27" t="s">
        <v>140</v>
      </c>
      <c r="D174" s="1"/>
    </row>
    <row r="175" spans="1:4" x14ac:dyDescent="0.25">
      <c r="A175" s="269" t="s">
        <v>143</v>
      </c>
      <c r="B175" s="269"/>
      <c r="C175" s="27" t="s">
        <v>144</v>
      </c>
      <c r="D175" s="1"/>
    </row>
    <row r="176" spans="1:4" x14ac:dyDescent="0.25">
      <c r="A176" s="269" t="s">
        <v>145</v>
      </c>
      <c r="B176" s="269"/>
      <c r="C176" s="27" t="s">
        <v>144</v>
      </c>
      <c r="D176" s="1"/>
    </row>
    <row r="177" spans="1:4" x14ac:dyDescent="0.25">
      <c r="A177" s="269" t="s">
        <v>146</v>
      </c>
      <c r="B177" s="269"/>
      <c r="C177" s="27" t="s">
        <v>147</v>
      </c>
      <c r="D177" s="1"/>
    </row>
    <row r="178" spans="1:4" x14ac:dyDescent="0.25">
      <c r="A178" s="269" t="s">
        <v>148</v>
      </c>
      <c r="B178" s="269"/>
      <c r="C178" s="27" t="s">
        <v>149</v>
      </c>
      <c r="D178" s="1"/>
    </row>
    <row r="179" spans="1:4" x14ac:dyDescent="0.25">
      <c r="A179" s="269" t="s">
        <v>150</v>
      </c>
      <c r="B179" s="269"/>
      <c r="C179" s="27" t="s">
        <v>151</v>
      </c>
      <c r="D179" s="1"/>
    </row>
    <row r="180" spans="1:4" x14ac:dyDescent="0.25">
      <c r="A180" s="269" t="s">
        <v>152</v>
      </c>
      <c r="B180" s="269"/>
      <c r="C180" s="27" t="s">
        <v>153</v>
      </c>
      <c r="D180" s="1"/>
    </row>
    <row r="181" spans="1:4" x14ac:dyDescent="0.25">
      <c r="A181" s="269" t="s">
        <v>150</v>
      </c>
      <c r="B181" s="269"/>
      <c r="C181" s="1"/>
      <c r="D181" s="1"/>
    </row>
    <row r="182" spans="1:4" x14ac:dyDescent="0.25">
      <c r="A182" s="269" t="s">
        <v>152</v>
      </c>
      <c r="B182" s="269"/>
      <c r="C182" s="1"/>
      <c r="D182" s="1"/>
    </row>
    <row r="183" spans="1:4" x14ac:dyDescent="0.25">
      <c r="A183" s="269" t="s">
        <v>154</v>
      </c>
      <c r="B183" s="269"/>
      <c r="C183" s="1"/>
      <c r="D183" s="1"/>
    </row>
    <row r="184" spans="1:4" x14ac:dyDescent="0.25">
      <c r="A184" s="269" t="s">
        <v>155</v>
      </c>
      <c r="B184" s="269"/>
      <c r="C184" s="1"/>
      <c r="D184" s="1"/>
    </row>
    <row r="185" spans="1:4" x14ac:dyDescent="0.25">
      <c r="A185" s="269" t="s">
        <v>156</v>
      </c>
      <c r="B185" s="269"/>
      <c r="C185" s="1"/>
      <c r="D185" s="1"/>
    </row>
    <row r="186" spans="1:4" x14ac:dyDescent="0.25">
      <c r="A186" s="269" t="s">
        <v>36</v>
      </c>
      <c r="B186" s="269"/>
      <c r="C186" s="1"/>
      <c r="D186" s="1"/>
    </row>
    <row r="187" spans="1:4" x14ac:dyDescent="0.25">
      <c r="A187" s="269" t="s">
        <v>157</v>
      </c>
      <c r="B187" s="269"/>
      <c r="C187" s="1"/>
      <c r="D187" s="1"/>
    </row>
    <row r="188" spans="1:4" x14ac:dyDescent="0.25">
      <c r="A188" s="269" t="s">
        <v>158</v>
      </c>
      <c r="B188" s="269"/>
      <c r="C188" s="1"/>
      <c r="D188" s="1"/>
    </row>
    <row r="189" spans="1:4" x14ac:dyDescent="0.25">
      <c r="A189" s="269" t="s">
        <v>159</v>
      </c>
      <c r="B189" s="269"/>
      <c r="C189" s="1"/>
      <c r="D189" s="1"/>
    </row>
    <row r="190" spans="1:4" x14ac:dyDescent="0.25">
      <c r="A190" s="268" t="s">
        <v>160</v>
      </c>
      <c r="B190" s="268"/>
      <c r="C190" s="268"/>
      <c r="D190" s="268"/>
    </row>
    <row r="191" spans="1:4" x14ac:dyDescent="0.25">
      <c r="A191" s="268" t="s">
        <v>161</v>
      </c>
      <c r="B191" s="268"/>
      <c r="C191" s="268"/>
      <c r="D191" s="268"/>
    </row>
    <row r="192" spans="1:4" x14ac:dyDescent="0.25">
      <c r="A192" s="271" t="s">
        <v>162</v>
      </c>
      <c r="B192" s="271"/>
      <c r="C192" s="27" t="s">
        <v>163</v>
      </c>
      <c r="D192" s="23"/>
    </row>
    <row r="193" spans="1:4" x14ac:dyDescent="0.25">
      <c r="A193" s="269" t="s">
        <v>164</v>
      </c>
      <c r="B193" s="269"/>
      <c r="C193" s="27" t="s">
        <v>163</v>
      </c>
      <c r="D193" s="1"/>
    </row>
    <row r="194" spans="1:4" x14ac:dyDescent="0.25">
      <c r="A194" s="269" t="s">
        <v>165</v>
      </c>
      <c r="B194" s="269"/>
      <c r="C194" s="27" t="s">
        <v>144</v>
      </c>
      <c r="D194" s="1"/>
    </row>
    <row r="195" spans="1:4" x14ac:dyDescent="0.25">
      <c r="A195" s="269" t="s">
        <v>146</v>
      </c>
      <c r="B195" s="269"/>
      <c r="C195" s="27" t="s">
        <v>147</v>
      </c>
      <c r="D195" s="1"/>
    </row>
    <row r="196" spans="1:4" x14ac:dyDescent="0.25">
      <c r="A196" s="269" t="s">
        <v>166</v>
      </c>
      <c r="B196" s="269"/>
      <c r="C196" s="27" t="s">
        <v>167</v>
      </c>
      <c r="D196" s="1"/>
    </row>
    <row r="197" spans="1:4" x14ac:dyDescent="0.25">
      <c r="A197" s="269" t="s">
        <v>168</v>
      </c>
      <c r="B197" s="269"/>
      <c r="C197" s="27" t="s">
        <v>169</v>
      </c>
      <c r="D197" s="1"/>
    </row>
    <row r="198" spans="1:4" x14ac:dyDescent="0.25">
      <c r="A198" s="269" t="s">
        <v>166</v>
      </c>
      <c r="B198" s="269"/>
      <c r="C198" s="27" t="s">
        <v>170</v>
      </c>
      <c r="D198" s="1"/>
    </row>
    <row r="199" spans="1:4" x14ac:dyDescent="0.25">
      <c r="A199" s="269" t="s">
        <v>168</v>
      </c>
      <c r="B199" s="269"/>
      <c r="C199" s="1"/>
      <c r="D199" s="1"/>
    </row>
    <row r="200" spans="1:4" x14ac:dyDescent="0.25">
      <c r="A200" s="269" t="s">
        <v>166</v>
      </c>
      <c r="B200" s="269"/>
      <c r="C200" s="1"/>
      <c r="D200" s="1"/>
    </row>
    <row r="201" spans="1:4" x14ac:dyDescent="0.25">
      <c r="A201" s="269" t="s">
        <v>168</v>
      </c>
      <c r="B201" s="269"/>
      <c r="C201" s="1"/>
      <c r="D201" s="1"/>
    </row>
    <row r="202" spans="1:4" x14ac:dyDescent="0.25">
      <c r="A202" s="269" t="s">
        <v>154</v>
      </c>
      <c r="B202" s="269"/>
      <c r="C202" s="1"/>
      <c r="D202" s="1"/>
    </row>
    <row r="203" spans="1:4" x14ac:dyDescent="0.25">
      <c r="A203" s="269" t="s">
        <v>155</v>
      </c>
      <c r="B203" s="269"/>
      <c r="C203" s="1"/>
      <c r="D203" s="1"/>
    </row>
    <row r="204" spans="1:4" x14ac:dyDescent="0.25">
      <c r="A204" s="269" t="s">
        <v>171</v>
      </c>
      <c r="B204" s="269"/>
      <c r="C204" s="1"/>
      <c r="D204" s="1"/>
    </row>
    <row r="205" spans="1:4" x14ac:dyDescent="0.25">
      <c r="A205" s="269" t="s">
        <v>172</v>
      </c>
      <c r="B205" s="269"/>
      <c r="C205" s="1"/>
      <c r="D205" s="1"/>
    </row>
    <row r="206" spans="1:4" x14ac:dyDescent="0.25">
      <c r="A206" s="269" t="s">
        <v>157</v>
      </c>
      <c r="B206" s="269"/>
      <c r="C206" s="1"/>
      <c r="D206" s="1"/>
    </row>
    <row r="207" spans="1:4" x14ac:dyDescent="0.25">
      <c r="A207" s="269" t="s">
        <v>158</v>
      </c>
      <c r="B207" s="269"/>
      <c r="C207" s="1"/>
      <c r="D207" s="1"/>
    </row>
    <row r="208" spans="1:4" x14ac:dyDescent="0.25">
      <c r="A208" s="269" t="s">
        <v>159</v>
      </c>
      <c r="B208" s="269"/>
      <c r="C208" s="1"/>
      <c r="D208" s="1"/>
    </row>
    <row r="209" spans="1:4" x14ac:dyDescent="0.25">
      <c r="A209" s="268" t="s">
        <v>173</v>
      </c>
      <c r="B209" s="268"/>
      <c r="C209" s="268"/>
      <c r="D209" s="268"/>
    </row>
    <row r="210" spans="1:4" x14ac:dyDescent="0.25">
      <c r="A210" s="268" t="s">
        <v>174</v>
      </c>
      <c r="B210" s="268"/>
      <c r="C210" s="268"/>
      <c r="D210" s="268"/>
    </row>
    <row r="211" spans="1:4" x14ac:dyDescent="0.25">
      <c r="A211" s="271" t="s">
        <v>175</v>
      </c>
      <c r="B211" s="271"/>
      <c r="C211" s="27" t="s">
        <v>176</v>
      </c>
      <c r="D211" s="1"/>
    </row>
    <row r="212" spans="1:4" x14ac:dyDescent="0.25">
      <c r="A212" s="271" t="s">
        <v>177</v>
      </c>
      <c r="B212" s="271"/>
      <c r="C212" s="27" t="s">
        <v>163</v>
      </c>
      <c r="D212" s="1"/>
    </row>
    <row r="213" spans="1:4" x14ac:dyDescent="0.25">
      <c r="A213" s="271" t="s">
        <v>178</v>
      </c>
      <c r="B213" s="271"/>
      <c r="C213" s="27" t="s">
        <v>163</v>
      </c>
      <c r="D213" s="1"/>
    </row>
    <row r="214" spans="1:4" x14ac:dyDescent="0.25">
      <c r="A214" s="271" t="s">
        <v>179</v>
      </c>
      <c r="B214" s="271"/>
      <c r="C214" s="27" t="s">
        <v>180</v>
      </c>
      <c r="D214" s="1"/>
    </row>
    <row r="215" spans="1:4" x14ac:dyDescent="0.25">
      <c r="A215" s="269" t="s">
        <v>172</v>
      </c>
      <c r="B215" s="269"/>
      <c r="C215" s="1"/>
      <c r="D215" s="1"/>
    </row>
    <row r="216" spans="1:4" x14ac:dyDescent="0.25">
      <c r="A216" s="271" t="s">
        <v>181</v>
      </c>
      <c r="B216" s="271"/>
      <c r="C216" s="1"/>
      <c r="D216" s="1"/>
    </row>
    <row r="217" spans="1:4" x14ac:dyDescent="0.25">
      <c r="A217" s="271" t="s">
        <v>158</v>
      </c>
      <c r="B217" s="271"/>
      <c r="C217" s="1"/>
      <c r="D217" s="1"/>
    </row>
    <row r="218" spans="1:4" x14ac:dyDescent="0.25">
      <c r="A218" s="269" t="s">
        <v>159</v>
      </c>
      <c r="B218" s="269"/>
      <c r="C218" s="1"/>
      <c r="D218" s="1"/>
    </row>
    <row r="219" spans="1:4" ht="15" customHeight="1" x14ac:dyDescent="0.25">
      <c r="A219" s="321" t="s">
        <v>182</v>
      </c>
      <c r="B219" s="322"/>
      <c r="C219" s="322"/>
      <c r="D219" s="323"/>
    </row>
    <row r="220" spans="1:4" x14ac:dyDescent="0.25">
      <c r="A220" s="324" t="s">
        <v>183</v>
      </c>
      <c r="B220" s="324"/>
      <c r="C220" s="324"/>
      <c r="D220" s="324"/>
    </row>
    <row r="221" spans="1:4" x14ac:dyDescent="0.25">
      <c r="A221" s="1"/>
      <c r="B221" s="27" t="s">
        <v>184</v>
      </c>
      <c r="C221" s="27" t="s">
        <v>185</v>
      </c>
      <c r="D221" s="27" t="s">
        <v>144</v>
      </c>
    </row>
    <row r="222" spans="1:4" x14ac:dyDescent="0.25">
      <c r="A222" s="26" t="s">
        <v>186</v>
      </c>
      <c r="B222" s="1"/>
      <c r="C222" s="1"/>
      <c r="D222" s="1"/>
    </row>
    <row r="223" spans="1:4" x14ac:dyDescent="0.25">
      <c r="A223" s="25" t="s">
        <v>187</v>
      </c>
      <c r="B223" s="1"/>
      <c r="C223" s="1"/>
      <c r="D223" s="1"/>
    </row>
    <row r="224" spans="1:4" x14ac:dyDescent="0.25">
      <c r="A224" s="25" t="s">
        <v>188</v>
      </c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26" t="s">
        <v>189</v>
      </c>
      <c r="B226" s="1"/>
      <c r="C226" s="1"/>
      <c r="D226" s="1"/>
    </row>
    <row r="227" spans="1:4" x14ac:dyDescent="0.25">
      <c r="A227" s="25" t="s">
        <v>190</v>
      </c>
      <c r="B227" s="1"/>
      <c r="C227" s="1"/>
      <c r="D227" s="1"/>
    </row>
    <row r="228" spans="1:4" x14ac:dyDescent="0.25">
      <c r="A228" s="25" t="s">
        <v>191</v>
      </c>
      <c r="B228" s="1"/>
      <c r="C228" s="1"/>
      <c r="D228" s="1"/>
    </row>
    <row r="229" spans="1:4" x14ac:dyDescent="0.25">
      <c r="A229" s="25" t="s">
        <v>192</v>
      </c>
      <c r="B229" s="1"/>
      <c r="C229" s="1"/>
      <c r="D229" s="1"/>
    </row>
    <row r="230" spans="1:4" x14ac:dyDescent="0.25">
      <c r="A230" s="25" t="s">
        <v>193</v>
      </c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25" t="s">
        <v>35</v>
      </c>
      <c r="B232" s="1"/>
      <c r="C232" s="1"/>
      <c r="D232" s="1"/>
    </row>
    <row r="233" spans="1:4" x14ac:dyDescent="0.25">
      <c r="A233" s="25" t="s">
        <v>194</v>
      </c>
      <c r="B233" s="1"/>
      <c r="C233" s="1"/>
      <c r="D233" s="1"/>
    </row>
    <row r="234" spans="1:4" x14ac:dyDescent="0.25">
      <c r="A234" s="25" t="s">
        <v>195</v>
      </c>
      <c r="B234" s="1"/>
      <c r="C234" s="1"/>
      <c r="D234" s="1"/>
    </row>
    <row r="235" spans="1:4" x14ac:dyDescent="0.25">
      <c r="A235" s="25" t="s">
        <v>196</v>
      </c>
      <c r="B235" s="1"/>
      <c r="C235" s="1"/>
      <c r="D235" s="1"/>
    </row>
    <row r="236" spans="1:4" x14ac:dyDescent="0.25">
      <c r="A236" s="26" t="s">
        <v>197</v>
      </c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26" t="s">
        <v>198</v>
      </c>
      <c r="B238" s="24" t="s">
        <v>199</v>
      </c>
      <c r="C238" s="24" t="s">
        <v>200</v>
      </c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26" t="s">
        <v>201</v>
      </c>
      <c r="B240" s="1"/>
      <c r="C240" s="1"/>
      <c r="D240" s="1"/>
    </row>
    <row r="242" spans="1:4" ht="31.5" customHeight="1" x14ac:dyDescent="0.25">
      <c r="A242" s="270"/>
      <c r="B242" s="270"/>
      <c r="C242" s="270"/>
      <c r="D242" s="270"/>
    </row>
    <row r="243" spans="1:4" ht="33.75" customHeight="1" x14ac:dyDescent="0.25">
      <c r="A243" s="270"/>
      <c r="B243" s="270"/>
      <c r="C243" s="270"/>
      <c r="D243" s="270"/>
    </row>
    <row r="244" spans="1:4" ht="33" customHeight="1" x14ac:dyDescent="0.25">
      <c r="A244" s="270"/>
      <c r="B244" s="270"/>
      <c r="C244" s="270"/>
      <c r="D244" s="270"/>
    </row>
    <row r="245" spans="1:4" x14ac:dyDescent="0.25">
      <c r="A245" s="270"/>
      <c r="B245" s="270"/>
      <c r="C245" s="270"/>
      <c r="D245" s="270"/>
    </row>
    <row r="246" spans="1:4" x14ac:dyDescent="0.25">
      <c r="A246" s="270"/>
      <c r="B246" s="270"/>
      <c r="C246" s="270"/>
      <c r="D246" s="270"/>
    </row>
  </sheetData>
  <mergeCells count="189">
    <mergeCell ref="A244:D244"/>
    <mergeCell ref="A245:D246"/>
    <mergeCell ref="A217:B217"/>
    <mergeCell ref="A218:B218"/>
    <mergeCell ref="A219:D219"/>
    <mergeCell ref="A220:D220"/>
    <mergeCell ref="A242:D242"/>
    <mergeCell ref="A243:D243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D209"/>
    <mergeCell ref="A210:D210"/>
    <mergeCell ref="A199:B199"/>
    <mergeCell ref="A200:B200"/>
    <mergeCell ref="A201:B201"/>
    <mergeCell ref="A202:B202"/>
    <mergeCell ref="A203:B203"/>
    <mergeCell ref="A204:B204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D190"/>
    <mergeCell ref="A191:D191"/>
    <mergeCell ref="A192:B192"/>
    <mergeCell ref="A181:B181"/>
    <mergeCell ref="A182:B182"/>
    <mergeCell ref="A183:B183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80:B180"/>
    <mergeCell ref="A167:D168"/>
    <mergeCell ref="A170:D170"/>
    <mergeCell ref="A171:D171"/>
    <mergeCell ref="A172:B172"/>
    <mergeCell ref="A173:B173"/>
    <mergeCell ref="A174:B174"/>
    <mergeCell ref="B159:C159"/>
    <mergeCell ref="B160:C160"/>
    <mergeCell ref="B161:C161"/>
    <mergeCell ref="B162:C162"/>
    <mergeCell ref="B163:C163"/>
    <mergeCell ref="B164:C164"/>
    <mergeCell ref="A149:D149"/>
    <mergeCell ref="A150:D150"/>
    <mergeCell ref="A155:C155"/>
    <mergeCell ref="B156:C156"/>
    <mergeCell ref="B157:C157"/>
    <mergeCell ref="B158:C158"/>
    <mergeCell ref="A134:B134"/>
    <mergeCell ref="A135:A136"/>
    <mergeCell ref="C135:C136"/>
    <mergeCell ref="D135:D136"/>
    <mergeCell ref="B141:C141"/>
    <mergeCell ref="A148:D148"/>
    <mergeCell ref="A122:B122"/>
    <mergeCell ref="A124:C125"/>
    <mergeCell ref="D124:D125"/>
    <mergeCell ref="A126:B126"/>
    <mergeCell ref="B129:B130"/>
    <mergeCell ref="C129:C130"/>
    <mergeCell ref="D129:D130"/>
    <mergeCell ref="A116:B116"/>
    <mergeCell ref="C116:C118"/>
    <mergeCell ref="D116:D118"/>
    <mergeCell ref="A117:B117"/>
    <mergeCell ref="A118:B118"/>
    <mergeCell ref="A120:B120"/>
    <mergeCell ref="A111:B111"/>
    <mergeCell ref="C111:C113"/>
    <mergeCell ref="D111:D113"/>
    <mergeCell ref="A112:B112"/>
    <mergeCell ref="A113:B113"/>
    <mergeCell ref="A114:A115"/>
    <mergeCell ref="B114:B115"/>
    <mergeCell ref="C114:C115"/>
    <mergeCell ref="D114:D115"/>
    <mergeCell ref="A105:B105"/>
    <mergeCell ref="A107:B107"/>
    <mergeCell ref="A108:B108"/>
    <mergeCell ref="C108:C110"/>
    <mergeCell ref="D108:D110"/>
    <mergeCell ref="A109:B109"/>
    <mergeCell ref="A110:B110"/>
    <mergeCell ref="A98:D98"/>
    <mergeCell ref="A99:D99"/>
    <mergeCell ref="A100:C100"/>
    <mergeCell ref="A101:C101"/>
    <mergeCell ref="A102:C102"/>
    <mergeCell ref="A103:C103"/>
    <mergeCell ref="A91:C91"/>
    <mergeCell ref="A92:A93"/>
    <mergeCell ref="B92:C92"/>
    <mergeCell ref="D92:D93"/>
    <mergeCell ref="B93:C93"/>
    <mergeCell ref="A94:B95"/>
    <mergeCell ref="A83:B83"/>
    <mergeCell ref="A86:B86"/>
    <mergeCell ref="A87:A88"/>
    <mergeCell ref="B87:B88"/>
    <mergeCell ref="C87:C88"/>
    <mergeCell ref="D87:D88"/>
    <mergeCell ref="A79:A82"/>
    <mergeCell ref="B79:B80"/>
    <mergeCell ref="C79:C80"/>
    <mergeCell ref="D79:D80"/>
    <mergeCell ref="B81:B82"/>
    <mergeCell ref="C81:C82"/>
    <mergeCell ref="D81:D82"/>
    <mergeCell ref="A70:B70"/>
    <mergeCell ref="A73:B73"/>
    <mergeCell ref="A74:A75"/>
    <mergeCell ref="C74:C75"/>
    <mergeCell ref="D74:D75"/>
    <mergeCell ref="A76:A77"/>
    <mergeCell ref="C76:C77"/>
    <mergeCell ref="D76:D77"/>
    <mergeCell ref="A66:A67"/>
    <mergeCell ref="C66:C67"/>
    <mergeCell ref="D66:D67"/>
    <mergeCell ref="A68:A69"/>
    <mergeCell ref="C68:C69"/>
    <mergeCell ref="D68:D69"/>
    <mergeCell ref="A62:A63"/>
    <mergeCell ref="C62:C63"/>
    <mergeCell ref="D62:D63"/>
    <mergeCell ref="A64:A65"/>
    <mergeCell ref="C64:C65"/>
    <mergeCell ref="D64:D65"/>
    <mergeCell ref="A58:A59"/>
    <mergeCell ref="C58:C59"/>
    <mergeCell ref="D58:D59"/>
    <mergeCell ref="A60:A61"/>
    <mergeCell ref="C60:C61"/>
    <mergeCell ref="D60:D61"/>
    <mergeCell ref="A50:B50"/>
    <mergeCell ref="A53:B53"/>
    <mergeCell ref="A54:A55"/>
    <mergeCell ref="C54:C55"/>
    <mergeCell ref="D54:D55"/>
    <mergeCell ref="A56:A57"/>
    <mergeCell ref="C56:C57"/>
    <mergeCell ref="D56:D57"/>
    <mergeCell ref="B33:C33"/>
    <mergeCell ref="B34:C34"/>
    <mergeCell ref="B35:C35"/>
    <mergeCell ref="A36:C36"/>
    <mergeCell ref="A37:D37"/>
    <mergeCell ref="A40:B40"/>
    <mergeCell ref="C40:C41"/>
    <mergeCell ref="D40:D41"/>
    <mergeCell ref="A41:B41"/>
    <mergeCell ref="B28:C28"/>
    <mergeCell ref="A31:C31"/>
    <mergeCell ref="B32:C32"/>
    <mergeCell ref="A8:D8"/>
    <mergeCell ref="A10:B10"/>
    <mergeCell ref="A21:C21"/>
    <mergeCell ref="B22:C22"/>
    <mergeCell ref="B23:C23"/>
    <mergeCell ref="B24:C24"/>
    <mergeCell ref="A1:B1"/>
    <mergeCell ref="A2:C2"/>
    <mergeCell ref="B3:C3"/>
    <mergeCell ref="A4:C4"/>
    <mergeCell ref="A5:C5"/>
    <mergeCell ref="A6:C6"/>
    <mergeCell ref="B25:C25"/>
    <mergeCell ref="B26:C26"/>
    <mergeCell ref="B27:C2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4"/>
  <sheetViews>
    <sheetView zoomScale="140" zoomScaleNormal="140" workbookViewId="0">
      <selection activeCell="H172" sqref="H172"/>
    </sheetView>
  </sheetViews>
  <sheetFormatPr defaultRowHeight="11.25" x14ac:dyDescent="0.2"/>
  <cols>
    <col min="1" max="1" width="21.42578125" style="89" customWidth="1"/>
    <col min="2" max="2" width="39" style="89" customWidth="1"/>
    <col min="3" max="3" width="9.85546875" style="89" customWidth="1"/>
    <col min="4" max="4" width="14" style="90" bestFit="1" customWidth="1"/>
    <col min="5" max="5" width="9.140625" style="89"/>
    <col min="6" max="6" width="13.28515625" style="89" bestFit="1" customWidth="1"/>
    <col min="7" max="16384" width="9.140625" style="89"/>
  </cols>
  <sheetData>
    <row r="1" spans="1:4" x14ac:dyDescent="0.2">
      <c r="A1" s="193" t="s">
        <v>4</v>
      </c>
      <c r="B1" s="193"/>
    </row>
    <row r="2" spans="1:4" x14ac:dyDescent="0.2">
      <c r="A2" s="203"/>
      <c r="B2" s="203"/>
      <c r="C2" s="203"/>
    </row>
    <row r="3" spans="1:4" x14ac:dyDescent="0.2">
      <c r="A3" s="91"/>
      <c r="B3" s="201" t="s">
        <v>231</v>
      </c>
      <c r="C3" s="202"/>
      <c r="D3" s="92"/>
    </row>
    <row r="4" spans="1:4" x14ac:dyDescent="0.2">
      <c r="A4" s="196" t="s">
        <v>0</v>
      </c>
      <c r="B4" s="197"/>
      <c r="C4" s="197"/>
      <c r="D4" s="92"/>
    </row>
    <row r="5" spans="1:4" x14ac:dyDescent="0.2">
      <c r="A5" s="197" t="s">
        <v>1</v>
      </c>
      <c r="B5" s="197"/>
      <c r="C5" s="197"/>
      <c r="D5" s="92"/>
    </row>
    <row r="6" spans="1:4" x14ac:dyDescent="0.2">
      <c r="A6" s="197" t="s">
        <v>2</v>
      </c>
      <c r="B6" s="197"/>
      <c r="C6" s="197"/>
      <c r="D6" s="92"/>
    </row>
    <row r="8" spans="1:4" x14ac:dyDescent="0.2">
      <c r="A8" s="194" t="s">
        <v>5</v>
      </c>
      <c r="B8" s="194"/>
      <c r="C8" s="194"/>
      <c r="D8" s="194"/>
    </row>
    <row r="9" spans="1:4" x14ac:dyDescent="0.2">
      <c r="A9" s="93"/>
      <c r="B9" s="93"/>
      <c r="C9" s="93"/>
      <c r="D9" s="93"/>
    </row>
    <row r="10" spans="1:4" x14ac:dyDescent="0.2">
      <c r="A10" s="195" t="s">
        <v>6</v>
      </c>
      <c r="B10" s="195"/>
      <c r="C10" s="94" t="s">
        <v>23</v>
      </c>
      <c r="D10" s="94" t="s">
        <v>24</v>
      </c>
    </row>
    <row r="11" spans="1:4" x14ac:dyDescent="0.2">
      <c r="A11" s="95" t="s">
        <v>7</v>
      </c>
      <c r="B11" s="96" t="s">
        <v>8</v>
      </c>
      <c r="C11" s="87"/>
      <c r="D11" s="178">
        <v>2224.06</v>
      </c>
    </row>
    <row r="12" spans="1:4" x14ac:dyDescent="0.2">
      <c r="A12" s="95" t="s">
        <v>9</v>
      </c>
      <c r="B12" s="96" t="s">
        <v>10</v>
      </c>
      <c r="C12" s="87"/>
      <c r="D12" s="97"/>
    </row>
    <row r="13" spans="1:4" x14ac:dyDescent="0.2">
      <c r="A13" s="95" t="s">
        <v>11</v>
      </c>
      <c r="B13" s="96" t="s">
        <v>12</v>
      </c>
      <c r="C13" s="87"/>
      <c r="D13" s="178">
        <v>484.8</v>
      </c>
    </row>
    <row r="14" spans="1:4" x14ac:dyDescent="0.2">
      <c r="A14" s="95" t="s">
        <v>13</v>
      </c>
      <c r="B14" s="96" t="s">
        <v>14</v>
      </c>
      <c r="C14" s="98"/>
      <c r="D14" s="97"/>
    </row>
    <row r="15" spans="1:4" x14ac:dyDescent="0.2">
      <c r="A15" s="95" t="s">
        <v>15</v>
      </c>
      <c r="B15" s="96" t="s">
        <v>16</v>
      </c>
      <c r="C15" s="87"/>
      <c r="D15" s="97"/>
    </row>
    <row r="16" spans="1:4" x14ac:dyDescent="0.2">
      <c r="A16" s="95" t="s">
        <v>17</v>
      </c>
      <c r="B16" s="96" t="s">
        <v>18</v>
      </c>
      <c r="C16" s="87"/>
      <c r="D16" s="97"/>
    </row>
    <row r="17" spans="1:5" x14ac:dyDescent="0.2">
      <c r="A17" s="95" t="s">
        <v>19</v>
      </c>
      <c r="B17" s="96" t="s">
        <v>20</v>
      </c>
      <c r="C17" s="87"/>
      <c r="D17" s="97"/>
    </row>
    <row r="18" spans="1:5" x14ac:dyDescent="0.2">
      <c r="A18" s="95" t="s">
        <v>21</v>
      </c>
      <c r="B18" s="96" t="s">
        <v>22</v>
      </c>
      <c r="C18" s="87"/>
      <c r="D18" s="97"/>
    </row>
    <row r="19" spans="1:5" x14ac:dyDescent="0.2">
      <c r="A19" s="95"/>
      <c r="B19" s="96" t="s">
        <v>211</v>
      </c>
      <c r="C19" s="87"/>
      <c r="D19" s="99">
        <f>SUM(D11:D18)</f>
        <v>2708.86</v>
      </c>
    </row>
    <row r="21" spans="1:5" x14ac:dyDescent="0.2">
      <c r="A21" s="195" t="s">
        <v>25</v>
      </c>
      <c r="B21" s="195"/>
      <c r="C21" s="195"/>
      <c r="D21" s="94" t="s">
        <v>24</v>
      </c>
      <c r="E21" s="100"/>
    </row>
    <row r="22" spans="1:5" x14ac:dyDescent="0.2">
      <c r="A22" s="95" t="s">
        <v>7</v>
      </c>
      <c r="B22" s="197" t="s">
        <v>26</v>
      </c>
      <c r="C22" s="197"/>
      <c r="D22" s="178">
        <v>164</v>
      </c>
      <c r="E22" s="101"/>
    </row>
    <row r="23" spans="1:5" x14ac:dyDescent="0.2">
      <c r="A23" s="95" t="s">
        <v>9</v>
      </c>
      <c r="B23" s="197" t="s">
        <v>27</v>
      </c>
      <c r="C23" s="197"/>
      <c r="D23" s="178">
        <v>400</v>
      </c>
      <c r="E23" s="101"/>
    </row>
    <row r="24" spans="1:5" x14ac:dyDescent="0.2">
      <c r="A24" s="95" t="s">
        <v>11</v>
      </c>
      <c r="B24" s="197" t="s">
        <v>210</v>
      </c>
      <c r="C24" s="197"/>
      <c r="D24" s="97"/>
      <c r="E24" s="101"/>
    </row>
    <row r="25" spans="1:5" x14ac:dyDescent="0.2">
      <c r="A25" s="95" t="s">
        <v>13</v>
      </c>
      <c r="B25" s="197" t="s">
        <v>209</v>
      </c>
      <c r="C25" s="197"/>
      <c r="D25" s="97"/>
      <c r="E25" s="101"/>
    </row>
    <row r="26" spans="1:5" x14ac:dyDescent="0.2">
      <c r="A26" s="95" t="s">
        <v>15</v>
      </c>
      <c r="B26" s="197" t="s">
        <v>30</v>
      </c>
      <c r="C26" s="197"/>
      <c r="D26" s="97"/>
      <c r="E26" s="101"/>
    </row>
    <row r="27" spans="1:5" x14ac:dyDescent="0.2">
      <c r="A27" s="95" t="s">
        <v>17</v>
      </c>
      <c r="B27" s="197" t="s">
        <v>31</v>
      </c>
      <c r="C27" s="197"/>
      <c r="D27" s="97"/>
      <c r="E27" s="101"/>
    </row>
    <row r="28" spans="1:5" x14ac:dyDescent="0.2">
      <c r="A28" s="95" t="s">
        <v>19</v>
      </c>
      <c r="B28" s="197" t="s">
        <v>244</v>
      </c>
      <c r="C28" s="197"/>
      <c r="D28" s="178">
        <v>46</v>
      </c>
      <c r="E28" s="101"/>
    </row>
    <row r="29" spans="1:5" x14ac:dyDescent="0.2">
      <c r="A29" s="95"/>
      <c r="B29" s="96" t="s">
        <v>211</v>
      </c>
      <c r="C29" s="87"/>
      <c r="D29" s="99">
        <f>SUM(D21:D28)</f>
        <v>610</v>
      </c>
    </row>
    <row r="31" spans="1:5" x14ac:dyDescent="0.2">
      <c r="A31" s="195" t="s">
        <v>32</v>
      </c>
      <c r="B31" s="195"/>
      <c r="C31" s="195"/>
      <c r="D31" s="94" t="s">
        <v>24</v>
      </c>
      <c r="E31" s="101"/>
    </row>
    <row r="32" spans="1:5" x14ac:dyDescent="0.2">
      <c r="A32" s="95" t="s">
        <v>7</v>
      </c>
      <c r="B32" s="197" t="s">
        <v>33</v>
      </c>
      <c r="C32" s="197"/>
      <c r="D32" s="97">
        <f>(23.16*3)/12</f>
        <v>5.79</v>
      </c>
      <c r="E32" s="101"/>
    </row>
    <row r="33" spans="1:9" x14ac:dyDescent="0.2">
      <c r="A33" s="95" t="s">
        <v>9</v>
      </c>
      <c r="B33" s="197" t="s">
        <v>34</v>
      </c>
      <c r="C33" s="197"/>
      <c r="D33" s="97">
        <f>65.04/12</f>
        <v>5.4200000000000008</v>
      </c>
      <c r="E33" s="101"/>
    </row>
    <row r="34" spans="1:9" x14ac:dyDescent="0.2">
      <c r="A34" s="95" t="s">
        <v>11</v>
      </c>
      <c r="B34" s="197" t="s">
        <v>35</v>
      </c>
      <c r="C34" s="197"/>
      <c r="D34" s="97">
        <f>7.2</f>
        <v>7.2</v>
      </c>
      <c r="E34" s="101"/>
    </row>
    <row r="35" spans="1:9" x14ac:dyDescent="0.2">
      <c r="A35" s="95" t="s">
        <v>13</v>
      </c>
      <c r="B35" s="197" t="s">
        <v>36</v>
      </c>
      <c r="C35" s="197"/>
      <c r="D35" s="97">
        <f>2</f>
        <v>2</v>
      </c>
      <c r="E35" s="101"/>
    </row>
    <row r="36" spans="1:9" x14ac:dyDescent="0.2">
      <c r="A36" s="197" t="s">
        <v>37</v>
      </c>
      <c r="B36" s="197"/>
      <c r="C36" s="197"/>
      <c r="D36" s="102">
        <f>SUM(D32:D35)</f>
        <v>20.41</v>
      </c>
      <c r="E36" s="101"/>
    </row>
    <row r="37" spans="1:9" x14ac:dyDescent="0.2">
      <c r="A37" s="200" t="s">
        <v>38</v>
      </c>
      <c r="B37" s="200"/>
      <c r="C37" s="200"/>
      <c r="D37" s="200"/>
      <c r="E37" s="100"/>
    </row>
    <row r="38" spans="1:9" x14ac:dyDescent="0.2">
      <c r="A38" s="103"/>
      <c r="B38" s="103"/>
      <c r="C38" s="103"/>
      <c r="D38" s="104"/>
      <c r="E38" s="100"/>
    </row>
    <row r="40" spans="1:9" x14ac:dyDescent="0.2">
      <c r="A40" s="195" t="s">
        <v>39</v>
      </c>
      <c r="B40" s="195"/>
      <c r="C40" s="195" t="s">
        <v>23</v>
      </c>
      <c r="D40" s="195" t="s">
        <v>24</v>
      </c>
    </row>
    <row r="41" spans="1:9" x14ac:dyDescent="0.2">
      <c r="A41" s="195" t="s">
        <v>40</v>
      </c>
      <c r="B41" s="195"/>
      <c r="C41" s="195"/>
      <c r="D41" s="195"/>
    </row>
    <row r="42" spans="1:9" x14ac:dyDescent="0.2">
      <c r="A42" s="95">
        <v>1</v>
      </c>
      <c r="B42" s="96" t="s">
        <v>41</v>
      </c>
      <c r="C42" s="105">
        <v>0.12</v>
      </c>
      <c r="D42" s="179">
        <v>251.24</v>
      </c>
    </row>
    <row r="43" spans="1:9" x14ac:dyDescent="0.2">
      <c r="A43" s="95">
        <v>2</v>
      </c>
      <c r="B43" s="96" t="s">
        <v>42</v>
      </c>
      <c r="C43" s="41"/>
      <c r="D43" s="87"/>
    </row>
    <row r="44" spans="1:9" x14ac:dyDescent="0.2">
      <c r="A44" s="95">
        <v>3</v>
      </c>
      <c r="B44" s="96" t="s">
        <v>43</v>
      </c>
      <c r="C44" s="41"/>
      <c r="D44" s="87"/>
    </row>
    <row r="45" spans="1:9" x14ac:dyDescent="0.2">
      <c r="A45" s="95">
        <v>4</v>
      </c>
      <c r="B45" s="96" t="s">
        <v>44</v>
      </c>
      <c r="C45" s="41"/>
      <c r="D45" s="87"/>
    </row>
    <row r="46" spans="1:9" x14ac:dyDescent="0.2">
      <c r="A46" s="95">
        <v>5</v>
      </c>
      <c r="B46" s="96" t="s">
        <v>45</v>
      </c>
      <c r="C46" s="41"/>
      <c r="D46" s="87"/>
    </row>
    <row r="47" spans="1:9" x14ac:dyDescent="0.2">
      <c r="A47" s="95">
        <v>6</v>
      </c>
      <c r="B47" s="96" t="s">
        <v>46</v>
      </c>
      <c r="C47" s="107">
        <v>0.08</v>
      </c>
      <c r="D47" s="179">
        <v>220.37</v>
      </c>
      <c r="I47" s="108"/>
    </row>
    <row r="48" spans="1:9" x14ac:dyDescent="0.2">
      <c r="A48" s="95">
        <v>7</v>
      </c>
      <c r="B48" s="96" t="s">
        <v>47</v>
      </c>
      <c r="C48" s="41"/>
      <c r="D48" s="87"/>
    </row>
    <row r="49" spans="1:6" x14ac:dyDescent="0.2">
      <c r="A49" s="95">
        <v>8</v>
      </c>
      <c r="B49" s="96" t="s">
        <v>48</v>
      </c>
      <c r="C49" s="41"/>
      <c r="D49" s="87"/>
    </row>
    <row r="50" spans="1:6" x14ac:dyDescent="0.2">
      <c r="A50" s="207" t="s">
        <v>49</v>
      </c>
      <c r="B50" s="207"/>
      <c r="C50" s="109"/>
      <c r="D50" s="110">
        <f>SUM(D42:D49)</f>
        <v>471.61</v>
      </c>
    </row>
    <row r="51" spans="1:6" x14ac:dyDescent="0.2">
      <c r="A51" s="100"/>
      <c r="B51" s="100"/>
    </row>
    <row r="53" spans="1:6" x14ac:dyDescent="0.2">
      <c r="A53" s="204" t="s">
        <v>50</v>
      </c>
      <c r="B53" s="204"/>
      <c r="C53" s="94" t="s">
        <v>23</v>
      </c>
      <c r="D53" s="111" t="s">
        <v>24</v>
      </c>
    </row>
    <row r="54" spans="1:6" x14ac:dyDescent="0.2">
      <c r="A54" s="205">
        <v>9</v>
      </c>
      <c r="B54" s="112" t="s">
        <v>51</v>
      </c>
      <c r="C54" s="208">
        <v>0.111</v>
      </c>
      <c r="D54" s="198">
        <f>C54*($D$11+$D$13)</f>
        <v>300.68346000000003</v>
      </c>
    </row>
    <row r="55" spans="1:6" ht="22.5" x14ac:dyDescent="0.2">
      <c r="A55" s="205"/>
      <c r="B55" s="113" t="s">
        <v>52</v>
      </c>
      <c r="C55" s="206"/>
      <c r="D55" s="199"/>
      <c r="E55" s="114"/>
      <c r="F55" s="115"/>
    </row>
    <row r="56" spans="1:6" x14ac:dyDescent="0.2">
      <c r="A56" s="206">
        <v>10</v>
      </c>
      <c r="B56" s="112" t="s">
        <v>53</v>
      </c>
      <c r="C56" s="208">
        <v>1.3899999999999999E-2</v>
      </c>
      <c r="D56" s="198">
        <f t="shared" ref="D56" si="0">C56*($D$11+$D$13)</f>
        <v>37.653154000000001</v>
      </c>
    </row>
    <row r="57" spans="1:6" x14ac:dyDescent="0.2">
      <c r="A57" s="206"/>
      <c r="B57" s="113" t="s">
        <v>54</v>
      </c>
      <c r="C57" s="206"/>
      <c r="D57" s="199"/>
      <c r="E57" s="116"/>
    </row>
    <row r="58" spans="1:6" x14ac:dyDescent="0.2">
      <c r="A58" s="206">
        <v>11</v>
      </c>
      <c r="B58" s="112" t="s">
        <v>55</v>
      </c>
      <c r="C58" s="208">
        <v>6.9999999999999999E-4</v>
      </c>
      <c r="D58" s="198">
        <f t="shared" ref="D58" si="1">C58*($D$11+$D$13)</f>
        <v>1.8962020000000002</v>
      </c>
      <c r="E58" s="116"/>
    </row>
    <row r="59" spans="1:6" x14ac:dyDescent="0.2">
      <c r="A59" s="206"/>
      <c r="B59" s="113" t="s">
        <v>56</v>
      </c>
      <c r="C59" s="206"/>
      <c r="D59" s="199"/>
    </row>
    <row r="60" spans="1:6" x14ac:dyDescent="0.2">
      <c r="A60" s="206">
        <v>12</v>
      </c>
      <c r="B60" s="96" t="s">
        <v>57</v>
      </c>
      <c r="C60" s="208">
        <v>2.0000000000000001E-4</v>
      </c>
      <c r="D60" s="198">
        <f t="shared" ref="D60" si="2">C60*($D$11+$D$13)</f>
        <v>0.54177200000000003</v>
      </c>
    </row>
    <row r="61" spans="1:6" x14ac:dyDescent="0.2">
      <c r="A61" s="206"/>
      <c r="B61" s="113" t="s">
        <v>58</v>
      </c>
      <c r="C61" s="206"/>
      <c r="D61" s="199"/>
      <c r="E61" s="116"/>
    </row>
    <row r="62" spans="1:6" x14ac:dyDescent="0.2">
      <c r="A62" s="206">
        <v>13</v>
      </c>
      <c r="B62" s="112" t="s">
        <v>59</v>
      </c>
      <c r="C62" s="208">
        <v>3.0000000000000001E-3</v>
      </c>
      <c r="D62" s="198">
        <f t="shared" ref="D62" si="3">C62*($D$11+$D$13)</f>
        <v>8.1265800000000006</v>
      </c>
      <c r="E62" s="116"/>
    </row>
    <row r="63" spans="1:6" x14ac:dyDescent="0.2">
      <c r="A63" s="206"/>
      <c r="B63" s="113" t="s">
        <v>60</v>
      </c>
      <c r="C63" s="206"/>
      <c r="D63" s="199"/>
    </row>
    <row r="64" spans="1:6" x14ac:dyDescent="0.2">
      <c r="A64" s="206">
        <v>14</v>
      </c>
      <c r="B64" s="112" t="s">
        <v>61</v>
      </c>
      <c r="C64" s="208">
        <v>2.9999999999999997E-4</v>
      </c>
      <c r="D64" s="198">
        <f t="shared" ref="D64" si="4">C64*($D$11+$D$13)</f>
        <v>0.81265799999999999</v>
      </c>
    </row>
    <row r="65" spans="1:5" x14ac:dyDescent="0.2">
      <c r="A65" s="206"/>
      <c r="B65" s="113" t="s">
        <v>63</v>
      </c>
      <c r="C65" s="206"/>
      <c r="D65" s="199"/>
      <c r="E65" s="116"/>
    </row>
    <row r="66" spans="1:5" ht="22.5" x14ac:dyDescent="0.2">
      <c r="A66" s="206">
        <v>15</v>
      </c>
      <c r="B66" s="112" t="s">
        <v>64</v>
      </c>
      <c r="C66" s="208">
        <v>1.1679999999999999E-2</v>
      </c>
      <c r="D66" s="198">
        <f>C66*($D$11+$D$13)</f>
        <v>31.639484799999998</v>
      </c>
    </row>
    <row r="67" spans="1:5" ht="26.25" customHeight="1" x14ac:dyDescent="0.2">
      <c r="A67" s="206"/>
      <c r="B67" s="113" t="s">
        <v>202</v>
      </c>
      <c r="C67" s="206"/>
      <c r="D67" s="199"/>
      <c r="E67" s="117"/>
    </row>
    <row r="68" spans="1:5" x14ac:dyDescent="0.2">
      <c r="A68" s="210">
        <v>16</v>
      </c>
      <c r="B68" s="112" t="s">
        <v>65</v>
      </c>
      <c r="C68" s="208">
        <v>8.3000000000000004E-2</v>
      </c>
      <c r="D68" s="198">
        <f>C68*($D$11+$D$13)</f>
        <v>224.83538000000001</v>
      </c>
    </row>
    <row r="69" spans="1:5" ht="22.5" x14ac:dyDescent="0.2">
      <c r="A69" s="210"/>
      <c r="B69" s="96" t="s">
        <v>66</v>
      </c>
      <c r="C69" s="206"/>
      <c r="D69" s="199"/>
      <c r="E69" s="114"/>
    </row>
    <row r="70" spans="1:5" x14ac:dyDescent="0.2">
      <c r="A70" s="207" t="s">
        <v>62</v>
      </c>
      <c r="B70" s="207"/>
      <c r="C70" s="109"/>
      <c r="D70" s="102">
        <f>SUM(D54:D69)</f>
        <v>606.18869080000002</v>
      </c>
    </row>
    <row r="73" spans="1:5" x14ac:dyDescent="0.2">
      <c r="A73" s="195" t="s">
        <v>67</v>
      </c>
      <c r="B73" s="195"/>
      <c r="C73" s="94" t="s">
        <v>23</v>
      </c>
      <c r="D73" s="111" t="s">
        <v>24</v>
      </c>
    </row>
    <row r="74" spans="1:5" x14ac:dyDescent="0.2">
      <c r="A74" s="215">
        <v>17</v>
      </c>
      <c r="B74" s="118" t="s">
        <v>68</v>
      </c>
      <c r="C74" s="209">
        <v>2.5000000000000001E-2</v>
      </c>
      <c r="D74" s="198">
        <f>C74*($D$11+$D$13)</f>
        <v>67.721500000000006</v>
      </c>
    </row>
    <row r="75" spans="1:5" x14ac:dyDescent="0.2">
      <c r="A75" s="216"/>
      <c r="B75" s="119" t="s">
        <v>69</v>
      </c>
      <c r="C75" s="210"/>
      <c r="D75" s="199"/>
      <c r="E75" s="114"/>
    </row>
    <row r="76" spans="1:5" x14ac:dyDescent="0.2">
      <c r="A76" s="206">
        <v>18</v>
      </c>
      <c r="B76" s="120" t="s">
        <v>70</v>
      </c>
      <c r="C76" s="211">
        <v>5.0000000000000001E-3</v>
      </c>
      <c r="D76" s="198">
        <f>C76*($D$11+$D$13)</f>
        <v>13.544300000000002</v>
      </c>
    </row>
    <row r="77" spans="1:5" x14ac:dyDescent="0.2">
      <c r="A77" s="206"/>
      <c r="B77" s="119" t="s">
        <v>71</v>
      </c>
      <c r="C77" s="212"/>
      <c r="D77" s="199"/>
      <c r="E77" s="116"/>
    </row>
    <row r="78" spans="1:5" x14ac:dyDescent="0.2">
      <c r="A78" s="95">
        <v>19</v>
      </c>
      <c r="B78" s="121" t="s">
        <v>72</v>
      </c>
      <c r="C78" s="41"/>
      <c r="D78" s="88"/>
      <c r="E78" s="122"/>
    </row>
    <row r="79" spans="1:5" x14ac:dyDescent="0.2">
      <c r="A79" s="206" t="s">
        <v>73</v>
      </c>
      <c r="B79" s="221" t="s">
        <v>97</v>
      </c>
      <c r="C79" s="213">
        <v>3.2000000000000001E-2</v>
      </c>
      <c r="D79" s="198">
        <f>C79*($D$11+$D$13)</f>
        <v>86.683520000000001</v>
      </c>
    </row>
    <row r="80" spans="1:5" x14ac:dyDescent="0.2">
      <c r="A80" s="206"/>
      <c r="B80" s="196"/>
      <c r="C80" s="214"/>
      <c r="D80" s="199"/>
    </row>
    <row r="81" spans="1:5" x14ac:dyDescent="0.2">
      <c r="A81" s="206"/>
      <c r="B81" s="220" t="s">
        <v>96</v>
      </c>
      <c r="C81" s="213"/>
      <c r="D81" s="198">
        <f>C81*($D$11+$D$13)</f>
        <v>0</v>
      </c>
    </row>
    <row r="82" spans="1:5" x14ac:dyDescent="0.2">
      <c r="A82" s="206"/>
      <c r="B82" s="220"/>
      <c r="C82" s="214"/>
      <c r="D82" s="199"/>
      <c r="E82" s="116"/>
    </row>
    <row r="83" spans="1:5" x14ac:dyDescent="0.2">
      <c r="A83" s="207" t="s">
        <v>74</v>
      </c>
      <c r="B83" s="207"/>
      <c r="C83" s="109"/>
      <c r="D83" s="110">
        <f>SUM(D74:D82)</f>
        <v>167.94932</v>
      </c>
    </row>
    <row r="86" spans="1:5" x14ac:dyDescent="0.2">
      <c r="A86" s="204" t="s">
        <v>75</v>
      </c>
      <c r="B86" s="204"/>
      <c r="C86" s="111" t="s">
        <v>23</v>
      </c>
      <c r="D86" s="111" t="s">
        <v>24</v>
      </c>
    </row>
    <row r="87" spans="1:5" x14ac:dyDescent="0.2">
      <c r="A87" s="205">
        <v>20</v>
      </c>
      <c r="B87" s="197" t="s">
        <v>95</v>
      </c>
      <c r="C87" s="199"/>
      <c r="D87" s="199"/>
    </row>
    <row r="88" spans="1:5" x14ac:dyDescent="0.2">
      <c r="A88" s="205"/>
      <c r="B88" s="197"/>
      <c r="C88" s="199"/>
      <c r="D88" s="199"/>
    </row>
    <row r="91" spans="1:5" x14ac:dyDescent="0.2">
      <c r="A91" s="204" t="s">
        <v>76</v>
      </c>
      <c r="B91" s="204"/>
      <c r="C91" s="204"/>
      <c r="D91" s="123"/>
    </row>
    <row r="92" spans="1:5" x14ac:dyDescent="0.2">
      <c r="A92" s="205">
        <v>21</v>
      </c>
      <c r="B92" s="217" t="s">
        <v>77</v>
      </c>
      <c r="C92" s="217"/>
      <c r="D92" s="199"/>
    </row>
    <row r="93" spans="1:5" x14ac:dyDescent="0.2">
      <c r="A93" s="205"/>
      <c r="B93" s="218" t="s">
        <v>78</v>
      </c>
      <c r="C93" s="218"/>
      <c r="D93" s="199"/>
    </row>
    <row r="94" spans="1:5" x14ac:dyDescent="0.2">
      <c r="A94" s="219" t="s">
        <v>79</v>
      </c>
      <c r="B94" s="219"/>
      <c r="C94" s="111" t="s">
        <v>23</v>
      </c>
      <c r="D94" s="111" t="s">
        <v>24</v>
      </c>
    </row>
    <row r="95" spans="1:5" ht="15" customHeight="1" x14ac:dyDescent="0.2">
      <c r="A95" s="219"/>
      <c r="B95" s="219"/>
      <c r="C95" s="123"/>
      <c r="D95" s="124">
        <v>1917.7</v>
      </c>
    </row>
    <row r="98" spans="1:4" x14ac:dyDescent="0.2">
      <c r="A98" s="204" t="s">
        <v>80</v>
      </c>
      <c r="B98" s="204"/>
      <c r="C98" s="204"/>
      <c r="D98" s="204"/>
    </row>
    <row r="99" spans="1:4" x14ac:dyDescent="0.2">
      <c r="A99" s="205" t="s">
        <v>81</v>
      </c>
      <c r="B99" s="205"/>
      <c r="C99" s="205"/>
      <c r="D99" s="205"/>
    </row>
    <row r="100" spans="1:4" x14ac:dyDescent="0.2">
      <c r="A100" s="205" t="s">
        <v>82</v>
      </c>
      <c r="B100" s="205"/>
      <c r="C100" s="205"/>
      <c r="D100" s="125" t="s">
        <v>24</v>
      </c>
    </row>
    <row r="101" spans="1:4" x14ac:dyDescent="0.2">
      <c r="A101" s="227" t="s">
        <v>34</v>
      </c>
      <c r="B101" s="227"/>
      <c r="C101" s="227"/>
      <c r="D101" s="126"/>
    </row>
    <row r="102" spans="1:4" ht="15.75" customHeight="1" x14ac:dyDescent="0.2">
      <c r="A102" s="227" t="s">
        <v>83</v>
      </c>
      <c r="B102" s="227"/>
      <c r="C102" s="227"/>
      <c r="D102" s="126"/>
    </row>
    <row r="103" spans="1:4" ht="15.75" customHeight="1" x14ac:dyDescent="0.2">
      <c r="A103" s="227" t="s">
        <v>84</v>
      </c>
      <c r="B103" s="227"/>
      <c r="C103" s="227"/>
      <c r="D103" s="127">
        <f>D95+D29+D19+D36</f>
        <v>5256.9699999999993</v>
      </c>
    </row>
    <row r="105" spans="1:4" x14ac:dyDescent="0.2">
      <c r="A105" s="222" t="s">
        <v>85</v>
      </c>
      <c r="B105" s="222"/>
    </row>
    <row r="107" spans="1:4" x14ac:dyDescent="0.2">
      <c r="A107" s="223" t="s">
        <v>86</v>
      </c>
      <c r="B107" s="223"/>
      <c r="C107" s="111" t="s">
        <v>23</v>
      </c>
      <c r="D107" s="111" t="s">
        <v>24</v>
      </c>
    </row>
    <row r="108" spans="1:4" ht="22.5" customHeight="1" x14ac:dyDescent="0.2">
      <c r="A108" s="224" t="s">
        <v>87</v>
      </c>
      <c r="B108" s="224"/>
      <c r="C108" s="231">
        <v>0.05</v>
      </c>
      <c r="D108" s="238">
        <f>($D$103+$D$83+$D$70+$D$50+$D$36+$D$25+$D$24+$D$23+$D$22+$D$13+$D$11)*C108</f>
        <v>489.79940053999991</v>
      </c>
    </row>
    <row r="109" spans="1:4" x14ac:dyDescent="0.2">
      <c r="A109" s="225" t="s">
        <v>88</v>
      </c>
      <c r="B109" s="225"/>
      <c r="C109" s="232"/>
      <c r="D109" s="238"/>
    </row>
    <row r="110" spans="1:4" x14ac:dyDescent="0.2">
      <c r="A110" s="224" t="s">
        <v>89</v>
      </c>
      <c r="B110" s="224"/>
      <c r="C110" s="232"/>
      <c r="D110" s="238"/>
    </row>
    <row r="111" spans="1:4" ht="22.5" customHeight="1" x14ac:dyDescent="0.2">
      <c r="A111" s="226" t="s">
        <v>87</v>
      </c>
      <c r="B111" s="226"/>
      <c r="C111" s="233"/>
      <c r="D111" s="199"/>
    </row>
    <row r="112" spans="1:4" x14ac:dyDescent="0.2">
      <c r="A112" s="225" t="s">
        <v>88</v>
      </c>
      <c r="B112" s="225"/>
      <c r="C112" s="199"/>
      <c r="D112" s="199"/>
    </row>
    <row r="113" spans="1:4" x14ac:dyDescent="0.2">
      <c r="A113" s="224" t="s">
        <v>89</v>
      </c>
      <c r="B113" s="224"/>
      <c r="C113" s="199"/>
      <c r="D113" s="199"/>
    </row>
    <row r="114" spans="1:4" ht="24" customHeight="1" x14ac:dyDescent="0.2">
      <c r="A114" s="206" t="s">
        <v>7</v>
      </c>
      <c r="B114" s="197" t="s">
        <v>203</v>
      </c>
      <c r="C114" s="236">
        <v>0.02</v>
      </c>
      <c r="D114" s="237">
        <f>(D103)*C114</f>
        <v>105.13939999999999</v>
      </c>
    </row>
    <row r="115" spans="1:4" x14ac:dyDescent="0.2">
      <c r="A115" s="206"/>
      <c r="B115" s="197"/>
      <c r="C115" s="229"/>
      <c r="D115" s="229"/>
    </row>
    <row r="116" spans="1:4" x14ac:dyDescent="0.2">
      <c r="A116" s="225" t="s">
        <v>92</v>
      </c>
      <c r="B116" s="225"/>
      <c r="C116" s="234"/>
      <c r="D116" s="235"/>
    </row>
    <row r="117" spans="1:4" x14ac:dyDescent="0.2">
      <c r="A117" s="225" t="s">
        <v>94</v>
      </c>
      <c r="B117" s="225"/>
      <c r="C117" s="235"/>
      <c r="D117" s="235"/>
    </row>
    <row r="118" spans="1:4" x14ac:dyDescent="0.2">
      <c r="A118" s="239" t="s">
        <v>93</v>
      </c>
      <c r="B118" s="239"/>
      <c r="C118" s="235"/>
      <c r="D118" s="235"/>
    </row>
    <row r="119" spans="1:4" x14ac:dyDescent="0.2">
      <c r="A119" s="95" t="s">
        <v>9</v>
      </c>
      <c r="B119" s="96" t="s">
        <v>90</v>
      </c>
      <c r="C119" s="128">
        <v>0.1</v>
      </c>
      <c r="D119" s="129">
        <f>(D103*C119)</f>
        <v>525.697</v>
      </c>
    </row>
    <row r="120" spans="1:4" x14ac:dyDescent="0.2">
      <c r="A120" s="240" t="s">
        <v>91</v>
      </c>
      <c r="B120" s="240"/>
      <c r="C120" s="109"/>
      <c r="D120" s="130">
        <f>D119+D114</f>
        <v>630.83640000000003</v>
      </c>
    </row>
    <row r="122" spans="1:4" x14ac:dyDescent="0.2">
      <c r="A122" s="222" t="s">
        <v>98</v>
      </c>
      <c r="B122" s="222"/>
    </row>
    <row r="124" spans="1:4" ht="15" customHeight="1" x14ac:dyDescent="0.2">
      <c r="A124" s="206" t="s">
        <v>110</v>
      </c>
      <c r="B124" s="206"/>
      <c r="C124" s="206"/>
      <c r="D124" s="206"/>
    </row>
    <row r="125" spans="1:4" ht="24" customHeight="1" x14ac:dyDescent="0.2">
      <c r="A125" s="206"/>
      <c r="B125" s="206"/>
      <c r="C125" s="206"/>
      <c r="D125" s="206"/>
    </row>
    <row r="126" spans="1:4" ht="15.75" customHeight="1" x14ac:dyDescent="0.2">
      <c r="A126" s="206" t="s">
        <v>99</v>
      </c>
      <c r="B126" s="206"/>
      <c r="C126" s="94" t="s">
        <v>23</v>
      </c>
      <c r="D126" s="131" t="s">
        <v>24</v>
      </c>
    </row>
    <row r="127" spans="1:4" x14ac:dyDescent="0.2">
      <c r="A127" s="101"/>
      <c r="B127" s="132" t="s">
        <v>101</v>
      </c>
      <c r="C127" s="128">
        <v>0.03</v>
      </c>
      <c r="D127" s="133">
        <f>($D$120+$D$103)*C127</f>
        <v>176.63419199999998</v>
      </c>
    </row>
    <row r="128" spans="1:4" x14ac:dyDescent="0.2">
      <c r="A128" s="134" t="s">
        <v>7</v>
      </c>
      <c r="B128" s="135" t="s">
        <v>102</v>
      </c>
      <c r="C128" s="136">
        <v>6.4999999999999997E-3</v>
      </c>
      <c r="D128" s="133">
        <f>($D$120+$D$103)*C128</f>
        <v>38.270741599999994</v>
      </c>
    </row>
    <row r="129" spans="1:4" ht="23.25" customHeight="1" x14ac:dyDescent="0.2">
      <c r="A129" s="137" t="s">
        <v>100</v>
      </c>
      <c r="B129" s="206" t="s">
        <v>109</v>
      </c>
      <c r="C129" s="228">
        <v>1.4999999999999999E-2</v>
      </c>
      <c r="D129" s="230">
        <f>(D120+D103)*C129</f>
        <v>88.317095999999992</v>
      </c>
    </row>
    <row r="130" spans="1:4" ht="12.75" customHeight="1" x14ac:dyDescent="0.2">
      <c r="A130" s="138"/>
      <c r="B130" s="206"/>
      <c r="C130" s="229"/>
      <c r="D130" s="230"/>
    </row>
    <row r="131" spans="1:4" ht="15.75" customHeight="1" x14ac:dyDescent="0.2">
      <c r="A131" s="139" t="s">
        <v>9</v>
      </c>
      <c r="B131" s="96" t="s">
        <v>104</v>
      </c>
      <c r="C131" s="128"/>
      <c r="D131" s="41"/>
    </row>
    <row r="132" spans="1:4" ht="26.25" customHeight="1" x14ac:dyDescent="0.2">
      <c r="A132" s="137" t="s">
        <v>103</v>
      </c>
      <c r="B132" s="96" t="s">
        <v>105</v>
      </c>
      <c r="C132" s="128">
        <v>0.05</v>
      </c>
      <c r="D132" s="133">
        <f>($D$120+$D$103)*C132</f>
        <v>294.39031999999997</v>
      </c>
    </row>
    <row r="133" spans="1:4" x14ac:dyDescent="0.2">
      <c r="A133" s="94" t="s">
        <v>11</v>
      </c>
      <c r="B133" s="140" t="s">
        <v>106</v>
      </c>
      <c r="C133" s="109"/>
      <c r="D133" s="41"/>
    </row>
    <row r="134" spans="1:4" ht="15.75" customHeight="1" x14ac:dyDescent="0.2">
      <c r="A134" s="248" t="s">
        <v>107</v>
      </c>
      <c r="B134" s="249"/>
      <c r="C134" s="141">
        <f>D134/(D120+D103)</f>
        <v>0.10150000000000001</v>
      </c>
      <c r="D134" s="142">
        <f>SUM(D127:D133)</f>
        <v>597.61234960000002</v>
      </c>
    </row>
    <row r="135" spans="1:4" ht="15.75" customHeight="1" x14ac:dyDescent="0.2">
      <c r="A135" s="206" t="s">
        <v>108</v>
      </c>
      <c r="B135" s="143" t="s">
        <v>111</v>
      </c>
      <c r="C135" s="247"/>
      <c r="D135" s="247"/>
    </row>
    <row r="136" spans="1:4" x14ac:dyDescent="0.2">
      <c r="A136" s="206"/>
      <c r="B136" s="144" t="s">
        <v>112</v>
      </c>
      <c r="C136" s="247"/>
      <c r="D136" s="247"/>
    </row>
    <row r="139" spans="1:4" x14ac:dyDescent="0.2">
      <c r="A139" s="145" t="s">
        <v>227</v>
      </c>
      <c r="B139" s="146"/>
      <c r="C139" s="146"/>
      <c r="D139" s="146"/>
    </row>
    <row r="140" spans="1:4" x14ac:dyDescent="0.2">
      <c r="A140" s="145"/>
      <c r="B140" s="146"/>
      <c r="C140" s="146"/>
      <c r="D140" s="146"/>
    </row>
    <row r="141" spans="1:4" x14ac:dyDescent="0.2">
      <c r="A141" s="95" t="s">
        <v>114</v>
      </c>
      <c r="B141" s="250" t="s">
        <v>115</v>
      </c>
      <c r="C141" s="250"/>
      <c r="D141" s="147" t="s">
        <v>116</v>
      </c>
    </row>
    <row r="142" spans="1:4" x14ac:dyDescent="0.2">
      <c r="A142" s="95" t="s">
        <v>7</v>
      </c>
      <c r="B142" s="96" t="s">
        <v>117</v>
      </c>
      <c r="C142" s="41"/>
      <c r="D142" s="148">
        <f>D19+D29</f>
        <v>3318.86</v>
      </c>
    </row>
    <row r="143" spans="1:4" x14ac:dyDescent="0.2">
      <c r="A143" s="95" t="s">
        <v>9</v>
      </c>
      <c r="B143" s="96" t="s">
        <v>118</v>
      </c>
      <c r="C143" s="96" t="s">
        <v>23</v>
      </c>
      <c r="D143" s="148">
        <f>D95</f>
        <v>1917.7</v>
      </c>
    </row>
    <row r="144" spans="1:4" x14ac:dyDescent="0.2">
      <c r="A144" s="95" t="s">
        <v>11</v>
      </c>
      <c r="B144" s="96" t="s">
        <v>119</v>
      </c>
      <c r="C144" s="41"/>
      <c r="D144" s="148">
        <f>D36</f>
        <v>20.41</v>
      </c>
    </row>
    <row r="145" spans="1:4" x14ac:dyDescent="0.2">
      <c r="A145" s="95" t="s">
        <v>13</v>
      </c>
      <c r="B145" s="96" t="s">
        <v>120</v>
      </c>
      <c r="C145" s="41"/>
      <c r="D145" s="148">
        <f>SUM(D142:D144)</f>
        <v>5256.97</v>
      </c>
    </row>
    <row r="146" spans="1:4" x14ac:dyDescent="0.2">
      <c r="A146" s="41"/>
      <c r="B146" s="96" t="s">
        <v>121</v>
      </c>
      <c r="C146" s="41"/>
      <c r="D146" s="149">
        <f>D145+D134</f>
        <v>5854.5823496000003</v>
      </c>
    </row>
    <row r="147" spans="1:4" x14ac:dyDescent="0.2">
      <c r="A147" s="150"/>
      <c r="B147" s="146"/>
      <c r="C147" s="146"/>
      <c r="D147" s="146"/>
    </row>
    <row r="148" spans="1:4" ht="57.75" customHeight="1" x14ac:dyDescent="0.2">
      <c r="A148" s="251" t="s">
        <v>228</v>
      </c>
      <c r="B148" s="251"/>
      <c r="C148" s="251"/>
      <c r="D148" s="251"/>
    </row>
    <row r="149" spans="1:4" ht="46.5" customHeight="1" x14ac:dyDescent="0.2">
      <c r="A149" s="252" t="s">
        <v>229</v>
      </c>
      <c r="B149" s="252"/>
      <c r="C149" s="252"/>
      <c r="D149" s="252"/>
    </row>
    <row r="150" spans="1:4" ht="76.5" customHeight="1" x14ac:dyDescent="0.2">
      <c r="A150" s="244" t="s">
        <v>230</v>
      </c>
      <c r="B150" s="244"/>
      <c r="C150" s="244"/>
      <c r="D150" s="244"/>
    </row>
    <row r="153" spans="1:4" x14ac:dyDescent="0.2">
      <c r="A153" s="151" t="s">
        <v>125</v>
      </c>
      <c r="B153" s="146"/>
      <c r="C153" s="146"/>
    </row>
    <row r="154" spans="1:4" x14ac:dyDescent="0.2">
      <c r="A154" s="150"/>
      <c r="B154" s="146"/>
      <c r="C154" s="146"/>
    </row>
    <row r="155" spans="1:4" ht="15" customHeight="1" x14ac:dyDescent="0.2">
      <c r="A155" s="241" t="s">
        <v>126</v>
      </c>
      <c r="B155" s="242"/>
      <c r="C155" s="243"/>
      <c r="D155" s="41"/>
    </row>
    <row r="156" spans="1:4" x14ac:dyDescent="0.2">
      <c r="A156" s="41"/>
      <c r="B156" s="241" t="s">
        <v>127</v>
      </c>
      <c r="C156" s="243"/>
      <c r="D156" s="152" t="s">
        <v>128</v>
      </c>
    </row>
    <row r="157" spans="1:4" x14ac:dyDescent="0.2">
      <c r="A157" s="95" t="s">
        <v>7</v>
      </c>
      <c r="B157" s="245" t="s">
        <v>129</v>
      </c>
      <c r="C157" s="246"/>
      <c r="D157" s="148">
        <f>D142</f>
        <v>3318.86</v>
      </c>
    </row>
    <row r="158" spans="1:4" x14ac:dyDescent="0.2">
      <c r="A158" s="95" t="s">
        <v>9</v>
      </c>
      <c r="B158" s="245" t="s">
        <v>130</v>
      </c>
      <c r="C158" s="246"/>
      <c r="D158" s="148">
        <f>D144</f>
        <v>20.41</v>
      </c>
    </row>
    <row r="159" spans="1:4" x14ac:dyDescent="0.2">
      <c r="A159" s="95" t="s">
        <v>11</v>
      </c>
      <c r="B159" s="245" t="s">
        <v>131</v>
      </c>
      <c r="C159" s="246"/>
      <c r="D159" s="133">
        <f>D134</f>
        <v>597.61234960000002</v>
      </c>
    </row>
    <row r="160" spans="1:4" x14ac:dyDescent="0.2">
      <c r="A160" s="95" t="s">
        <v>13</v>
      </c>
      <c r="B160" s="245" t="s">
        <v>99</v>
      </c>
      <c r="C160" s="246"/>
      <c r="D160" s="148">
        <f>D143</f>
        <v>1917.7</v>
      </c>
    </row>
    <row r="161" spans="1:4" x14ac:dyDescent="0.2">
      <c r="A161" s="95" t="s">
        <v>15</v>
      </c>
      <c r="B161" s="245" t="s">
        <v>132</v>
      </c>
      <c r="C161" s="246"/>
      <c r="D161" s="148">
        <f>SUM(D157:D160)</f>
        <v>5854.5823496000003</v>
      </c>
    </row>
    <row r="162" spans="1:4" ht="24" customHeight="1" x14ac:dyDescent="0.2">
      <c r="A162" s="95" t="s">
        <v>17</v>
      </c>
      <c r="B162" s="245" t="s">
        <v>133</v>
      </c>
      <c r="C162" s="246"/>
      <c r="D162" s="148">
        <f>D161</f>
        <v>5854.5823496000003</v>
      </c>
    </row>
    <row r="163" spans="1:4" x14ac:dyDescent="0.2">
      <c r="A163" s="95" t="s">
        <v>19</v>
      </c>
      <c r="B163" s="245" t="s">
        <v>134</v>
      </c>
      <c r="C163" s="246"/>
      <c r="D163" s="177">
        <f>D162/100000</f>
        <v>5.8545823496000002E-2</v>
      </c>
    </row>
    <row r="164" spans="1:4" ht="24" customHeight="1" x14ac:dyDescent="0.2">
      <c r="A164" s="95" t="s">
        <v>21</v>
      </c>
      <c r="B164" s="245" t="s">
        <v>135</v>
      </c>
      <c r="C164" s="246"/>
      <c r="D164" s="154">
        <f>D163*12</f>
        <v>0.70254988195199997</v>
      </c>
    </row>
    <row r="167" spans="1:4" ht="15.75" customHeight="1" x14ac:dyDescent="0.2">
      <c r="A167" s="254" t="s">
        <v>226</v>
      </c>
      <c r="B167" s="254"/>
      <c r="C167" s="254"/>
      <c r="D167" s="254"/>
    </row>
    <row r="168" spans="1:4" ht="30" customHeight="1" x14ac:dyDescent="0.2">
      <c r="A168" s="254"/>
      <c r="B168" s="254"/>
      <c r="C168" s="254"/>
      <c r="D168" s="254"/>
    </row>
    <row r="170" spans="1:4" ht="31.5" customHeight="1" x14ac:dyDescent="0.2">
      <c r="A170" s="253"/>
      <c r="B170" s="253"/>
      <c r="C170" s="253"/>
      <c r="D170" s="253"/>
    </row>
    <row r="171" spans="1:4" ht="33.75" customHeight="1" x14ac:dyDescent="0.2">
      <c r="A171" s="253"/>
      <c r="B171" s="253"/>
      <c r="C171" s="253"/>
      <c r="D171" s="253"/>
    </row>
    <row r="172" spans="1:4" ht="33" customHeight="1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</sheetData>
  <mergeCells count="138">
    <mergeCell ref="A172:D172"/>
    <mergeCell ref="A173:D174"/>
    <mergeCell ref="A167:D168"/>
    <mergeCell ref="A170:D170"/>
    <mergeCell ref="A171:D171"/>
    <mergeCell ref="B160:C160"/>
    <mergeCell ref="B161:C161"/>
    <mergeCell ref="B162:C162"/>
    <mergeCell ref="B163:C163"/>
    <mergeCell ref="B164:C164"/>
    <mergeCell ref="A155:C155"/>
    <mergeCell ref="A150:D150"/>
    <mergeCell ref="B156:C156"/>
    <mergeCell ref="B157:C157"/>
    <mergeCell ref="B158:C158"/>
    <mergeCell ref="B159:C159"/>
    <mergeCell ref="C135:C136"/>
    <mergeCell ref="D135:D136"/>
    <mergeCell ref="A134:B134"/>
    <mergeCell ref="B141:C141"/>
    <mergeCell ref="A148:D148"/>
    <mergeCell ref="A149:D149"/>
    <mergeCell ref="B129:B130"/>
    <mergeCell ref="A126:B126"/>
    <mergeCell ref="A124:C125"/>
    <mergeCell ref="C129:C130"/>
    <mergeCell ref="A135:A136"/>
    <mergeCell ref="D129:D130"/>
    <mergeCell ref="A122:B122"/>
    <mergeCell ref="D124:D125"/>
    <mergeCell ref="C108:C110"/>
    <mergeCell ref="C111:C113"/>
    <mergeCell ref="A114:A115"/>
    <mergeCell ref="C116:C118"/>
    <mergeCell ref="C114:C115"/>
    <mergeCell ref="D114:D115"/>
    <mergeCell ref="D116:D118"/>
    <mergeCell ref="B114:B115"/>
    <mergeCell ref="D111:D113"/>
    <mergeCell ref="D108:D110"/>
    <mergeCell ref="A112:B112"/>
    <mergeCell ref="A113:B113"/>
    <mergeCell ref="A116:B116"/>
    <mergeCell ref="A117:B117"/>
    <mergeCell ref="A118:B118"/>
    <mergeCell ref="A120:B120"/>
    <mergeCell ref="A105:B105"/>
    <mergeCell ref="A107:B107"/>
    <mergeCell ref="A108:B108"/>
    <mergeCell ref="A109:B109"/>
    <mergeCell ref="A110:B110"/>
    <mergeCell ref="A111:B111"/>
    <mergeCell ref="A98:D98"/>
    <mergeCell ref="A100:C100"/>
    <mergeCell ref="A102:C102"/>
    <mergeCell ref="A103:C103"/>
    <mergeCell ref="A101:C101"/>
    <mergeCell ref="A99:D99"/>
    <mergeCell ref="A91:C91"/>
    <mergeCell ref="A92:A93"/>
    <mergeCell ref="B92:C92"/>
    <mergeCell ref="B93:C93"/>
    <mergeCell ref="A94:B95"/>
    <mergeCell ref="D92:D93"/>
    <mergeCell ref="D79:D80"/>
    <mergeCell ref="D81:D82"/>
    <mergeCell ref="A86:B86"/>
    <mergeCell ref="A87:A88"/>
    <mergeCell ref="C87:C88"/>
    <mergeCell ref="D87:D88"/>
    <mergeCell ref="B87:B88"/>
    <mergeCell ref="B81:B82"/>
    <mergeCell ref="B79:B80"/>
    <mergeCell ref="A83:B83"/>
    <mergeCell ref="C74:C75"/>
    <mergeCell ref="C76:C77"/>
    <mergeCell ref="A79:A82"/>
    <mergeCell ref="C81:C82"/>
    <mergeCell ref="A68:A69"/>
    <mergeCell ref="C68:C69"/>
    <mergeCell ref="D68:D69"/>
    <mergeCell ref="A73:B73"/>
    <mergeCell ref="A74:A75"/>
    <mergeCell ref="A76:A77"/>
    <mergeCell ref="D74:D75"/>
    <mergeCell ref="D76:D77"/>
    <mergeCell ref="A70:B70"/>
    <mergeCell ref="C79:C80"/>
    <mergeCell ref="A66:A67"/>
    <mergeCell ref="D64:D65"/>
    <mergeCell ref="D66:D67"/>
    <mergeCell ref="C54:C55"/>
    <mergeCell ref="C56:C57"/>
    <mergeCell ref="C58:C59"/>
    <mergeCell ref="C60:C61"/>
    <mergeCell ref="C62:C63"/>
    <mergeCell ref="D54:D55"/>
    <mergeCell ref="D56:D57"/>
    <mergeCell ref="D58:D59"/>
    <mergeCell ref="D60:D61"/>
    <mergeCell ref="C64:C65"/>
    <mergeCell ref="C66:C67"/>
    <mergeCell ref="A58:A59"/>
    <mergeCell ref="A60:A61"/>
    <mergeCell ref="A62:A63"/>
    <mergeCell ref="B22:C22"/>
    <mergeCell ref="B23:C23"/>
    <mergeCell ref="B25:C25"/>
    <mergeCell ref="B26:C26"/>
    <mergeCell ref="B24:C24"/>
    <mergeCell ref="B27:C27"/>
    <mergeCell ref="A21:C21"/>
    <mergeCell ref="B28:C28"/>
    <mergeCell ref="A64:A65"/>
    <mergeCell ref="A1:B1"/>
    <mergeCell ref="A8:D8"/>
    <mergeCell ref="A10:B10"/>
    <mergeCell ref="A4:C4"/>
    <mergeCell ref="A5:C5"/>
    <mergeCell ref="A6:C6"/>
    <mergeCell ref="C40:C41"/>
    <mergeCell ref="D40:D41"/>
    <mergeCell ref="D62:D63"/>
    <mergeCell ref="A37:D37"/>
    <mergeCell ref="B3:C3"/>
    <mergeCell ref="A2:C2"/>
    <mergeCell ref="A53:B53"/>
    <mergeCell ref="A54:A55"/>
    <mergeCell ref="A56:A57"/>
    <mergeCell ref="A40:B40"/>
    <mergeCell ref="A41:B41"/>
    <mergeCell ref="A50:B50"/>
    <mergeCell ref="A31:C31"/>
    <mergeCell ref="B32:C32"/>
    <mergeCell ref="B33:C33"/>
    <mergeCell ref="B34:C34"/>
    <mergeCell ref="B35:C35"/>
    <mergeCell ref="A36:C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4"/>
  <sheetViews>
    <sheetView tabSelected="1" topLeftCell="A28" zoomScale="140" zoomScaleNormal="140" workbookViewId="0">
      <selection activeCell="G2" sqref="G2"/>
    </sheetView>
  </sheetViews>
  <sheetFormatPr defaultRowHeight="11.25" x14ac:dyDescent="0.2"/>
  <cols>
    <col min="1" max="1" width="21.42578125" style="89" customWidth="1"/>
    <col min="2" max="2" width="38.7109375" style="89" customWidth="1"/>
    <col min="3" max="3" width="9.85546875" style="89" customWidth="1"/>
    <col min="4" max="4" width="14" style="90" bestFit="1" customWidth="1"/>
    <col min="5" max="5" width="9.140625" style="89"/>
    <col min="6" max="6" width="13.28515625" style="89" bestFit="1" customWidth="1"/>
    <col min="7" max="16384" width="9.140625" style="89"/>
  </cols>
  <sheetData>
    <row r="1" spans="1:4" x14ac:dyDescent="0.2">
      <c r="A1" s="193" t="s">
        <v>4</v>
      </c>
      <c r="B1" s="193"/>
    </row>
    <row r="2" spans="1:4" x14ac:dyDescent="0.2">
      <c r="A2" s="203"/>
      <c r="B2" s="203"/>
      <c r="C2" s="203"/>
    </row>
    <row r="3" spans="1:4" x14ac:dyDescent="0.2">
      <c r="A3" s="91"/>
      <c r="B3" s="201" t="s">
        <v>232</v>
      </c>
      <c r="C3" s="202"/>
      <c r="D3" s="92"/>
    </row>
    <row r="4" spans="1:4" x14ac:dyDescent="0.2">
      <c r="A4" s="196" t="s">
        <v>0</v>
      </c>
      <c r="B4" s="197"/>
      <c r="C4" s="197"/>
      <c r="D4" s="92"/>
    </row>
    <row r="5" spans="1:4" x14ac:dyDescent="0.2">
      <c r="A5" s="197" t="s">
        <v>1</v>
      </c>
      <c r="B5" s="197"/>
      <c r="C5" s="197"/>
      <c r="D5" s="92"/>
    </row>
    <row r="6" spans="1:4" x14ac:dyDescent="0.2">
      <c r="A6" s="197" t="s">
        <v>2</v>
      </c>
      <c r="B6" s="197"/>
      <c r="C6" s="197"/>
      <c r="D6" s="92"/>
    </row>
    <row r="8" spans="1:4" x14ac:dyDescent="0.2">
      <c r="A8" s="194" t="s">
        <v>5</v>
      </c>
      <c r="B8" s="194"/>
      <c r="C8" s="194"/>
      <c r="D8" s="194"/>
    </row>
    <row r="9" spans="1:4" x14ac:dyDescent="0.2">
      <c r="A9" s="93"/>
      <c r="B9" s="93"/>
      <c r="C9" s="93"/>
      <c r="D9" s="93"/>
    </row>
    <row r="10" spans="1:4" x14ac:dyDescent="0.2">
      <c r="A10" s="195" t="s">
        <v>6</v>
      </c>
      <c r="B10" s="195"/>
      <c r="C10" s="94" t="s">
        <v>23</v>
      </c>
      <c r="D10" s="94" t="s">
        <v>24</v>
      </c>
    </row>
    <row r="11" spans="1:4" x14ac:dyDescent="0.2">
      <c r="A11" s="95" t="s">
        <v>7</v>
      </c>
      <c r="B11" s="96" t="s">
        <v>8</v>
      </c>
      <c r="C11" s="87"/>
      <c r="D11" s="178">
        <v>1385.91</v>
      </c>
    </row>
    <row r="12" spans="1:4" x14ac:dyDescent="0.2">
      <c r="A12" s="95" t="s">
        <v>9</v>
      </c>
      <c r="B12" s="96" t="s">
        <v>10</v>
      </c>
      <c r="C12" s="87"/>
      <c r="D12" s="97"/>
    </row>
    <row r="13" spans="1:4" x14ac:dyDescent="0.2">
      <c r="A13" s="95" t="s">
        <v>11</v>
      </c>
      <c r="B13" s="96" t="s">
        <v>12</v>
      </c>
      <c r="C13" s="87"/>
      <c r="D13" s="178">
        <v>484.6</v>
      </c>
    </row>
    <row r="14" spans="1:4" x14ac:dyDescent="0.2">
      <c r="A14" s="95" t="s">
        <v>13</v>
      </c>
      <c r="B14" s="96" t="s">
        <v>14</v>
      </c>
      <c r="C14" s="98"/>
      <c r="D14" s="97"/>
    </row>
    <row r="15" spans="1:4" x14ac:dyDescent="0.2">
      <c r="A15" s="95" t="s">
        <v>15</v>
      </c>
      <c r="B15" s="96" t="s">
        <v>16</v>
      </c>
      <c r="C15" s="87"/>
      <c r="D15" s="97"/>
    </row>
    <row r="16" spans="1:4" x14ac:dyDescent="0.2">
      <c r="A16" s="95" t="s">
        <v>17</v>
      </c>
      <c r="B16" s="96" t="s">
        <v>18</v>
      </c>
      <c r="C16" s="87"/>
      <c r="D16" s="97"/>
    </row>
    <row r="17" spans="1:5" x14ac:dyDescent="0.2">
      <c r="A17" s="95" t="s">
        <v>19</v>
      </c>
      <c r="B17" s="96" t="s">
        <v>20</v>
      </c>
      <c r="C17" s="87"/>
      <c r="D17" s="97"/>
    </row>
    <row r="18" spans="1:5" x14ac:dyDescent="0.2">
      <c r="A18" s="95" t="s">
        <v>21</v>
      </c>
      <c r="B18" s="96" t="s">
        <v>244</v>
      </c>
      <c r="C18" s="87"/>
      <c r="D18" s="178">
        <v>46</v>
      </c>
    </row>
    <row r="19" spans="1:5" x14ac:dyDescent="0.2">
      <c r="A19" s="95"/>
      <c r="B19" s="96" t="s">
        <v>211</v>
      </c>
      <c r="C19" s="87"/>
      <c r="D19" s="99">
        <f>SUM(D11:D18)</f>
        <v>1916.5100000000002</v>
      </c>
    </row>
    <row r="21" spans="1:5" x14ac:dyDescent="0.2">
      <c r="A21" s="195" t="s">
        <v>25</v>
      </c>
      <c r="B21" s="195"/>
      <c r="C21" s="195"/>
      <c r="D21" s="94" t="s">
        <v>24</v>
      </c>
      <c r="E21" s="100"/>
    </row>
    <row r="22" spans="1:5" x14ac:dyDescent="0.2">
      <c r="A22" s="95" t="s">
        <v>7</v>
      </c>
      <c r="B22" s="197" t="s">
        <v>26</v>
      </c>
      <c r="C22" s="197"/>
      <c r="D22" s="178">
        <v>164</v>
      </c>
      <c r="E22" s="101"/>
    </row>
    <row r="23" spans="1:5" x14ac:dyDescent="0.2">
      <c r="A23" s="95" t="s">
        <v>9</v>
      </c>
      <c r="B23" s="197" t="s">
        <v>27</v>
      </c>
      <c r="C23" s="197"/>
      <c r="D23" s="178">
        <v>330</v>
      </c>
      <c r="E23" s="101"/>
    </row>
    <row r="24" spans="1:5" x14ac:dyDescent="0.2">
      <c r="A24" s="95" t="s">
        <v>11</v>
      </c>
      <c r="B24" s="197" t="s">
        <v>210</v>
      </c>
      <c r="C24" s="197"/>
      <c r="D24" s="97"/>
      <c r="E24" s="101"/>
    </row>
    <row r="25" spans="1:5" x14ac:dyDescent="0.2">
      <c r="A25" s="95" t="s">
        <v>13</v>
      </c>
      <c r="B25" s="197" t="s">
        <v>209</v>
      </c>
      <c r="C25" s="197"/>
      <c r="D25" s="97"/>
      <c r="E25" s="101"/>
    </row>
    <row r="26" spans="1:5" x14ac:dyDescent="0.2">
      <c r="A26" s="95" t="s">
        <v>15</v>
      </c>
      <c r="B26" s="197" t="s">
        <v>30</v>
      </c>
      <c r="C26" s="197"/>
      <c r="D26" s="97"/>
      <c r="E26" s="101"/>
    </row>
    <row r="27" spans="1:5" x14ac:dyDescent="0.2">
      <c r="A27" s="95" t="s">
        <v>17</v>
      </c>
      <c r="B27" s="197" t="s">
        <v>31</v>
      </c>
      <c r="C27" s="197"/>
      <c r="D27" s="97"/>
      <c r="E27" s="101"/>
    </row>
    <row r="28" spans="1:5" x14ac:dyDescent="0.2">
      <c r="A28" s="95" t="s">
        <v>19</v>
      </c>
      <c r="B28" s="197" t="s">
        <v>22</v>
      </c>
      <c r="C28" s="197"/>
      <c r="D28" s="97"/>
      <c r="E28" s="101"/>
    </row>
    <row r="29" spans="1:5" x14ac:dyDescent="0.2">
      <c r="A29" s="95"/>
      <c r="B29" s="96" t="s">
        <v>211</v>
      </c>
      <c r="C29" s="87"/>
      <c r="D29" s="99">
        <f>SUM(D21:D28)</f>
        <v>494</v>
      </c>
    </row>
    <row r="31" spans="1:5" x14ac:dyDescent="0.2">
      <c r="A31" s="195" t="s">
        <v>32</v>
      </c>
      <c r="B31" s="195"/>
      <c r="C31" s="195"/>
      <c r="D31" s="94" t="s">
        <v>24</v>
      </c>
      <c r="E31" s="101"/>
    </row>
    <row r="32" spans="1:5" x14ac:dyDescent="0.2">
      <c r="A32" s="95" t="s">
        <v>7</v>
      </c>
      <c r="B32" s="197" t="s">
        <v>33</v>
      </c>
      <c r="C32" s="197"/>
      <c r="D32" s="97">
        <f>(66.9*3)/12</f>
        <v>16.725000000000001</v>
      </c>
      <c r="E32" s="101"/>
    </row>
    <row r="33" spans="1:9" x14ac:dyDescent="0.2">
      <c r="A33" s="95" t="s">
        <v>9</v>
      </c>
      <c r="B33" s="197" t="s">
        <v>34</v>
      </c>
      <c r="C33" s="197"/>
      <c r="D33" s="97">
        <f>106.25/12</f>
        <v>8.8541666666666661</v>
      </c>
      <c r="E33" s="101"/>
    </row>
    <row r="34" spans="1:9" x14ac:dyDescent="0.2">
      <c r="A34" s="95" t="s">
        <v>11</v>
      </c>
      <c r="B34" s="197" t="s">
        <v>35</v>
      </c>
      <c r="C34" s="197"/>
      <c r="D34" s="97">
        <f>7.8+(6*7.2)+2.05+2.9+11.42</f>
        <v>67.36999999999999</v>
      </c>
      <c r="E34" s="101"/>
    </row>
    <row r="35" spans="1:9" x14ac:dyDescent="0.2">
      <c r="A35" s="95" t="s">
        <v>13</v>
      </c>
      <c r="B35" s="197" t="s">
        <v>36</v>
      </c>
      <c r="C35" s="197"/>
      <c r="D35" s="97">
        <f>2</f>
        <v>2</v>
      </c>
      <c r="E35" s="101"/>
    </row>
    <row r="36" spans="1:9" x14ac:dyDescent="0.2">
      <c r="A36" s="197" t="s">
        <v>37</v>
      </c>
      <c r="B36" s="197"/>
      <c r="C36" s="197"/>
      <c r="D36" s="102">
        <f>SUM(D32:D35)</f>
        <v>94.949166666666656</v>
      </c>
      <c r="E36" s="101"/>
    </row>
    <row r="37" spans="1:9" x14ac:dyDescent="0.2">
      <c r="A37" s="200" t="s">
        <v>38</v>
      </c>
      <c r="B37" s="200"/>
      <c r="C37" s="200"/>
      <c r="D37" s="200"/>
      <c r="E37" s="100"/>
    </row>
    <row r="38" spans="1:9" x14ac:dyDescent="0.2">
      <c r="A38" s="103"/>
      <c r="B38" s="103"/>
      <c r="C38" s="103"/>
      <c r="D38" s="104"/>
      <c r="E38" s="100"/>
    </row>
    <row r="40" spans="1:9" x14ac:dyDescent="0.2">
      <c r="A40" s="195" t="s">
        <v>39</v>
      </c>
      <c r="B40" s="195"/>
      <c r="C40" s="195" t="s">
        <v>23</v>
      </c>
      <c r="D40" s="195" t="s">
        <v>24</v>
      </c>
    </row>
    <row r="41" spans="1:9" x14ac:dyDescent="0.2">
      <c r="A41" s="195" t="s">
        <v>40</v>
      </c>
      <c r="B41" s="195"/>
      <c r="C41" s="195"/>
      <c r="D41" s="195"/>
    </row>
    <row r="42" spans="1:9" x14ac:dyDescent="0.2">
      <c r="A42" s="95">
        <v>1</v>
      </c>
      <c r="B42" s="96" t="s">
        <v>41</v>
      </c>
      <c r="C42" s="105">
        <v>0.09</v>
      </c>
      <c r="D42" s="179">
        <v>155.22999999999999</v>
      </c>
    </row>
    <row r="43" spans="1:9" x14ac:dyDescent="0.2">
      <c r="A43" s="95">
        <v>2</v>
      </c>
      <c r="B43" s="96" t="s">
        <v>42</v>
      </c>
      <c r="C43" s="41"/>
      <c r="D43" s="87"/>
    </row>
    <row r="44" spans="1:9" x14ac:dyDescent="0.2">
      <c r="A44" s="95">
        <v>3</v>
      </c>
      <c r="B44" s="96" t="s">
        <v>43</v>
      </c>
      <c r="C44" s="41"/>
      <c r="D44" s="87"/>
    </row>
    <row r="45" spans="1:9" x14ac:dyDescent="0.2">
      <c r="A45" s="95">
        <v>4</v>
      </c>
      <c r="B45" s="96" t="s">
        <v>44</v>
      </c>
      <c r="C45" s="41"/>
      <c r="D45" s="87"/>
    </row>
    <row r="46" spans="1:9" x14ac:dyDescent="0.2">
      <c r="A46" s="95">
        <v>5</v>
      </c>
      <c r="B46" s="96" t="s">
        <v>45</v>
      </c>
      <c r="C46" s="41"/>
      <c r="D46" s="87"/>
    </row>
    <row r="47" spans="1:9" x14ac:dyDescent="0.2">
      <c r="A47" s="95">
        <v>6</v>
      </c>
      <c r="B47" s="96" t="s">
        <v>46</v>
      </c>
      <c r="C47" s="107">
        <v>0.08</v>
      </c>
      <c r="D47" s="179">
        <v>153.32</v>
      </c>
      <c r="I47" s="108"/>
    </row>
    <row r="48" spans="1:9" x14ac:dyDescent="0.2">
      <c r="A48" s="95">
        <v>7</v>
      </c>
      <c r="B48" s="96" t="s">
        <v>47</v>
      </c>
      <c r="C48" s="41"/>
      <c r="D48" s="87"/>
    </row>
    <row r="49" spans="1:6" x14ac:dyDescent="0.2">
      <c r="A49" s="95">
        <v>8</v>
      </c>
      <c r="B49" s="96" t="s">
        <v>48</v>
      </c>
      <c r="C49" s="41"/>
      <c r="D49" s="87"/>
    </row>
    <row r="50" spans="1:6" x14ac:dyDescent="0.2">
      <c r="A50" s="207" t="s">
        <v>49</v>
      </c>
      <c r="B50" s="207"/>
      <c r="C50" s="109"/>
      <c r="D50" s="110">
        <f>SUM(D42:D49)</f>
        <v>308.54999999999995</v>
      </c>
    </row>
    <row r="51" spans="1:6" x14ac:dyDescent="0.2">
      <c r="A51" s="100"/>
      <c r="B51" s="100"/>
    </row>
    <row r="53" spans="1:6" x14ac:dyDescent="0.2">
      <c r="A53" s="204" t="s">
        <v>50</v>
      </c>
      <c r="B53" s="204"/>
      <c r="C53" s="94" t="s">
        <v>23</v>
      </c>
      <c r="D53" s="111" t="s">
        <v>24</v>
      </c>
    </row>
    <row r="54" spans="1:6" x14ac:dyDescent="0.2">
      <c r="A54" s="205">
        <v>9</v>
      </c>
      <c r="B54" s="112" t="s">
        <v>51</v>
      </c>
      <c r="C54" s="208">
        <v>0.111</v>
      </c>
      <c r="D54" s="198">
        <f>C54*($D$11+$D$13)</f>
        <v>207.62661000000003</v>
      </c>
    </row>
    <row r="55" spans="1:6" ht="22.5" x14ac:dyDescent="0.2">
      <c r="A55" s="205"/>
      <c r="B55" s="113" t="s">
        <v>52</v>
      </c>
      <c r="C55" s="206"/>
      <c r="D55" s="199"/>
      <c r="E55" s="114"/>
      <c r="F55" s="115"/>
    </row>
    <row r="56" spans="1:6" x14ac:dyDescent="0.2">
      <c r="A56" s="206">
        <v>10</v>
      </c>
      <c r="B56" s="112" t="s">
        <v>53</v>
      </c>
      <c r="C56" s="208">
        <v>1.3899999999999999E-2</v>
      </c>
      <c r="D56" s="198">
        <f t="shared" ref="D56" si="0">C56*($D$11+$D$13)</f>
        <v>26.000089000000003</v>
      </c>
    </row>
    <row r="57" spans="1:6" x14ac:dyDescent="0.2">
      <c r="A57" s="206"/>
      <c r="B57" s="113" t="s">
        <v>54</v>
      </c>
      <c r="C57" s="206"/>
      <c r="D57" s="199"/>
      <c r="E57" s="116"/>
    </row>
    <row r="58" spans="1:6" x14ac:dyDescent="0.2">
      <c r="A58" s="206">
        <v>11</v>
      </c>
      <c r="B58" s="112" t="s">
        <v>55</v>
      </c>
      <c r="C58" s="208">
        <v>6.9999999999999999E-4</v>
      </c>
      <c r="D58" s="198">
        <f t="shared" ref="D58" si="1">C58*($D$11+$D$13)</f>
        <v>1.3093570000000001</v>
      </c>
      <c r="E58" s="116"/>
    </row>
    <row r="59" spans="1:6" x14ac:dyDescent="0.2">
      <c r="A59" s="206"/>
      <c r="B59" s="113" t="s">
        <v>56</v>
      </c>
      <c r="C59" s="206"/>
      <c r="D59" s="199"/>
    </row>
    <row r="60" spans="1:6" x14ac:dyDescent="0.2">
      <c r="A60" s="206">
        <v>12</v>
      </c>
      <c r="B60" s="96" t="s">
        <v>57</v>
      </c>
      <c r="C60" s="208">
        <v>2.0000000000000001E-4</v>
      </c>
      <c r="D60" s="198">
        <f t="shared" ref="D60" si="2">C60*($D$11+$D$13)</f>
        <v>0.37410200000000005</v>
      </c>
    </row>
    <row r="61" spans="1:6" x14ac:dyDescent="0.2">
      <c r="A61" s="206"/>
      <c r="B61" s="113" t="s">
        <v>58</v>
      </c>
      <c r="C61" s="206"/>
      <c r="D61" s="199"/>
      <c r="E61" s="116"/>
    </row>
    <row r="62" spans="1:6" x14ac:dyDescent="0.2">
      <c r="A62" s="206">
        <v>13</v>
      </c>
      <c r="B62" s="112" t="s">
        <v>59</v>
      </c>
      <c r="C62" s="208">
        <v>3.0000000000000001E-3</v>
      </c>
      <c r="D62" s="198">
        <f t="shared" ref="D62" si="3">C62*($D$11+$D$13)</f>
        <v>5.611530000000001</v>
      </c>
      <c r="E62" s="116"/>
    </row>
    <row r="63" spans="1:6" x14ac:dyDescent="0.2">
      <c r="A63" s="206"/>
      <c r="B63" s="113" t="s">
        <v>60</v>
      </c>
      <c r="C63" s="206"/>
      <c r="D63" s="199"/>
    </row>
    <row r="64" spans="1:6" x14ac:dyDescent="0.2">
      <c r="A64" s="206">
        <v>14</v>
      </c>
      <c r="B64" s="112" t="s">
        <v>61</v>
      </c>
      <c r="C64" s="208">
        <v>2.9999999999999997E-4</v>
      </c>
      <c r="D64" s="198">
        <f t="shared" ref="D64" si="4">C64*($D$11+$D$13)</f>
        <v>0.56115300000000001</v>
      </c>
    </row>
    <row r="65" spans="1:5" x14ac:dyDescent="0.2">
      <c r="A65" s="206"/>
      <c r="B65" s="113" t="s">
        <v>63</v>
      </c>
      <c r="C65" s="206"/>
      <c r="D65" s="199"/>
      <c r="E65" s="116"/>
    </row>
    <row r="66" spans="1:5" ht="22.5" x14ac:dyDescent="0.2">
      <c r="A66" s="206">
        <v>15</v>
      </c>
      <c r="B66" s="112" t="s">
        <v>64</v>
      </c>
      <c r="C66" s="208">
        <v>1.1679999999999999E-2</v>
      </c>
      <c r="D66" s="198">
        <f>C66*($D$11+$D$13)</f>
        <v>21.847556800000003</v>
      </c>
    </row>
    <row r="67" spans="1:5" ht="26.25" customHeight="1" x14ac:dyDescent="0.2">
      <c r="A67" s="206"/>
      <c r="B67" s="113" t="s">
        <v>202</v>
      </c>
      <c r="C67" s="206"/>
      <c r="D67" s="199"/>
      <c r="E67" s="117"/>
    </row>
    <row r="68" spans="1:5" x14ac:dyDescent="0.2">
      <c r="A68" s="210">
        <v>16</v>
      </c>
      <c r="B68" s="112" t="s">
        <v>65</v>
      </c>
      <c r="C68" s="208">
        <v>8.3000000000000004E-2</v>
      </c>
      <c r="D68" s="198">
        <f>C68*($D$11+$D$13)</f>
        <v>155.25233000000003</v>
      </c>
    </row>
    <row r="69" spans="1:5" ht="22.5" x14ac:dyDescent="0.2">
      <c r="A69" s="210"/>
      <c r="B69" s="96" t="s">
        <v>66</v>
      </c>
      <c r="C69" s="206"/>
      <c r="D69" s="199"/>
      <c r="E69" s="114"/>
    </row>
    <row r="70" spans="1:5" x14ac:dyDescent="0.2">
      <c r="A70" s="207" t="s">
        <v>62</v>
      </c>
      <c r="B70" s="207"/>
      <c r="C70" s="109"/>
      <c r="D70" s="102">
        <f>SUM(D54:D69)</f>
        <v>418.58272780000004</v>
      </c>
    </row>
    <row r="73" spans="1:5" x14ac:dyDescent="0.2">
      <c r="A73" s="195" t="s">
        <v>67</v>
      </c>
      <c r="B73" s="195"/>
      <c r="C73" s="94" t="s">
        <v>23</v>
      </c>
      <c r="D73" s="111" t="s">
        <v>24</v>
      </c>
    </row>
    <row r="74" spans="1:5" x14ac:dyDescent="0.2">
      <c r="A74" s="215">
        <v>17</v>
      </c>
      <c r="B74" s="118" t="s">
        <v>68</v>
      </c>
      <c r="C74" s="209">
        <v>2.5000000000000001E-2</v>
      </c>
      <c r="D74" s="198">
        <f>C74*($D$11+$D$13)</f>
        <v>46.762750000000011</v>
      </c>
    </row>
    <row r="75" spans="1:5" x14ac:dyDescent="0.2">
      <c r="A75" s="216"/>
      <c r="B75" s="119" t="s">
        <v>69</v>
      </c>
      <c r="C75" s="210"/>
      <c r="D75" s="199"/>
      <c r="E75" s="114"/>
    </row>
    <row r="76" spans="1:5" x14ac:dyDescent="0.2">
      <c r="A76" s="206">
        <v>18</v>
      </c>
      <c r="B76" s="120" t="s">
        <v>70</v>
      </c>
      <c r="C76" s="211">
        <v>5.0000000000000001E-3</v>
      </c>
      <c r="D76" s="198">
        <f>C76*($D$11+$D$13)</f>
        <v>9.3525500000000008</v>
      </c>
    </row>
    <row r="77" spans="1:5" x14ac:dyDescent="0.2">
      <c r="A77" s="206"/>
      <c r="B77" s="119" t="s">
        <v>71</v>
      </c>
      <c r="C77" s="212"/>
      <c r="D77" s="199"/>
      <c r="E77" s="116"/>
    </row>
    <row r="78" spans="1:5" x14ac:dyDescent="0.2">
      <c r="A78" s="95">
        <v>19</v>
      </c>
      <c r="B78" s="121" t="s">
        <v>72</v>
      </c>
      <c r="C78" s="41"/>
      <c r="D78" s="88"/>
      <c r="E78" s="122"/>
    </row>
    <row r="79" spans="1:5" x14ac:dyDescent="0.2">
      <c r="A79" s="206" t="s">
        <v>73</v>
      </c>
      <c r="B79" s="221" t="s">
        <v>97</v>
      </c>
      <c r="C79" s="213">
        <v>3.2000000000000001E-2</v>
      </c>
      <c r="D79" s="198">
        <f>C79*($D$11+$D$13)</f>
        <v>59.856320000000011</v>
      </c>
    </row>
    <row r="80" spans="1:5" x14ac:dyDescent="0.2">
      <c r="A80" s="206"/>
      <c r="B80" s="196"/>
      <c r="C80" s="214"/>
      <c r="D80" s="199"/>
    </row>
    <row r="81" spans="1:5" x14ac:dyDescent="0.2">
      <c r="A81" s="206"/>
      <c r="B81" s="220" t="s">
        <v>96</v>
      </c>
      <c r="C81" s="213"/>
      <c r="D81" s="198">
        <f>C81*($D$11+$D$13)</f>
        <v>0</v>
      </c>
    </row>
    <row r="82" spans="1:5" x14ac:dyDescent="0.2">
      <c r="A82" s="206"/>
      <c r="B82" s="220"/>
      <c r="C82" s="214"/>
      <c r="D82" s="199"/>
      <c r="E82" s="116"/>
    </row>
    <row r="83" spans="1:5" x14ac:dyDescent="0.2">
      <c r="A83" s="207" t="s">
        <v>74</v>
      </c>
      <c r="B83" s="207"/>
      <c r="C83" s="109"/>
      <c r="D83" s="110">
        <f>SUM(D74:D82)</f>
        <v>115.97162000000003</v>
      </c>
    </row>
    <row r="86" spans="1:5" x14ac:dyDescent="0.2">
      <c r="A86" s="204" t="s">
        <v>75</v>
      </c>
      <c r="B86" s="204"/>
      <c r="C86" s="111" t="s">
        <v>23</v>
      </c>
      <c r="D86" s="111" t="s">
        <v>24</v>
      </c>
    </row>
    <row r="87" spans="1:5" x14ac:dyDescent="0.2">
      <c r="A87" s="205">
        <v>20</v>
      </c>
      <c r="B87" s="197" t="s">
        <v>95</v>
      </c>
      <c r="C87" s="199"/>
      <c r="D87" s="199"/>
    </row>
    <row r="88" spans="1:5" x14ac:dyDescent="0.2">
      <c r="A88" s="205"/>
      <c r="B88" s="197"/>
      <c r="C88" s="199"/>
      <c r="D88" s="199"/>
    </row>
    <row r="91" spans="1:5" x14ac:dyDescent="0.2">
      <c r="A91" s="204" t="s">
        <v>76</v>
      </c>
      <c r="B91" s="204"/>
      <c r="C91" s="204"/>
      <c r="D91" s="123"/>
    </row>
    <row r="92" spans="1:5" x14ac:dyDescent="0.2">
      <c r="A92" s="205">
        <v>21</v>
      </c>
      <c r="B92" s="217" t="s">
        <v>77</v>
      </c>
      <c r="C92" s="217"/>
      <c r="D92" s="199"/>
    </row>
    <row r="93" spans="1:5" x14ac:dyDescent="0.2">
      <c r="A93" s="205"/>
      <c r="B93" s="218" t="s">
        <v>78</v>
      </c>
      <c r="C93" s="218"/>
      <c r="D93" s="199"/>
    </row>
    <row r="94" spans="1:5" x14ac:dyDescent="0.2">
      <c r="A94" s="219" t="s">
        <v>79</v>
      </c>
      <c r="B94" s="219"/>
      <c r="C94" s="111" t="s">
        <v>23</v>
      </c>
      <c r="D94" s="111" t="s">
        <v>24</v>
      </c>
    </row>
    <row r="95" spans="1:5" ht="15" customHeight="1" x14ac:dyDescent="0.2">
      <c r="A95" s="219"/>
      <c r="B95" s="219"/>
      <c r="C95" s="123"/>
      <c r="D95" s="124">
        <v>1195</v>
      </c>
    </row>
    <row r="98" spans="1:4" x14ac:dyDescent="0.2">
      <c r="A98" s="204" t="s">
        <v>80</v>
      </c>
      <c r="B98" s="204"/>
      <c r="C98" s="204"/>
      <c r="D98" s="204"/>
    </row>
    <row r="99" spans="1:4" x14ac:dyDescent="0.2">
      <c r="A99" s="205" t="s">
        <v>81</v>
      </c>
      <c r="B99" s="205"/>
      <c r="C99" s="205"/>
      <c r="D99" s="205"/>
    </row>
    <row r="100" spans="1:4" x14ac:dyDescent="0.2">
      <c r="A100" s="205" t="s">
        <v>82</v>
      </c>
      <c r="B100" s="205"/>
      <c r="C100" s="205"/>
      <c r="D100" s="125" t="s">
        <v>24</v>
      </c>
    </row>
    <row r="101" spans="1:4" x14ac:dyDescent="0.2">
      <c r="A101" s="227" t="s">
        <v>34</v>
      </c>
      <c r="B101" s="227"/>
      <c r="C101" s="227"/>
      <c r="D101" s="126"/>
    </row>
    <row r="102" spans="1:4" ht="15.75" customHeight="1" x14ac:dyDescent="0.2">
      <c r="A102" s="227" t="s">
        <v>83</v>
      </c>
      <c r="B102" s="227"/>
      <c r="C102" s="227"/>
      <c r="D102" s="126"/>
    </row>
    <row r="103" spans="1:4" ht="15.75" customHeight="1" x14ac:dyDescent="0.2">
      <c r="A103" s="227" t="s">
        <v>84</v>
      </c>
      <c r="B103" s="227"/>
      <c r="C103" s="227"/>
      <c r="D103" s="127">
        <f>D95+D29+D19+D36</f>
        <v>3700.459166666667</v>
      </c>
    </row>
    <row r="105" spans="1:4" x14ac:dyDescent="0.2">
      <c r="A105" s="222" t="s">
        <v>85</v>
      </c>
      <c r="B105" s="222"/>
    </row>
    <row r="107" spans="1:4" x14ac:dyDescent="0.2">
      <c r="A107" s="223" t="s">
        <v>86</v>
      </c>
      <c r="B107" s="223"/>
      <c r="C107" s="111" t="s">
        <v>23</v>
      </c>
      <c r="D107" s="111" t="s">
        <v>24</v>
      </c>
    </row>
    <row r="108" spans="1:4" ht="22.5" customHeight="1" x14ac:dyDescent="0.2">
      <c r="A108" s="224" t="s">
        <v>87</v>
      </c>
      <c r="B108" s="224"/>
      <c r="C108" s="231">
        <v>0.05</v>
      </c>
      <c r="D108" s="238">
        <f>($D$103+$D$83+$D$70+$D$50+$D$36+$D$25+$D$24+$D$23+$D$22+$D$13+$D$11)*C108</f>
        <v>350.15113405666671</v>
      </c>
    </row>
    <row r="109" spans="1:4" x14ac:dyDescent="0.2">
      <c r="A109" s="225" t="s">
        <v>88</v>
      </c>
      <c r="B109" s="225"/>
      <c r="C109" s="232"/>
      <c r="D109" s="238"/>
    </row>
    <row r="110" spans="1:4" x14ac:dyDescent="0.2">
      <c r="A110" s="224" t="s">
        <v>89</v>
      </c>
      <c r="B110" s="224"/>
      <c r="C110" s="232"/>
      <c r="D110" s="238"/>
    </row>
    <row r="111" spans="1:4" ht="22.5" customHeight="1" x14ac:dyDescent="0.2">
      <c r="A111" s="226" t="s">
        <v>87</v>
      </c>
      <c r="B111" s="226"/>
      <c r="C111" s="233"/>
      <c r="D111" s="199"/>
    </row>
    <row r="112" spans="1:4" x14ac:dyDescent="0.2">
      <c r="A112" s="225" t="s">
        <v>88</v>
      </c>
      <c r="B112" s="225"/>
      <c r="C112" s="199"/>
      <c r="D112" s="199"/>
    </row>
    <row r="113" spans="1:4" x14ac:dyDescent="0.2">
      <c r="A113" s="224" t="s">
        <v>89</v>
      </c>
      <c r="B113" s="224"/>
      <c r="C113" s="199"/>
      <c r="D113" s="199"/>
    </row>
    <row r="114" spans="1:4" ht="24" customHeight="1" x14ac:dyDescent="0.2">
      <c r="A114" s="206" t="s">
        <v>7</v>
      </c>
      <c r="B114" s="197" t="s">
        <v>203</v>
      </c>
      <c r="C114" s="236">
        <v>0.02</v>
      </c>
      <c r="D114" s="237">
        <f>(D103)*C114</f>
        <v>74.00918333333334</v>
      </c>
    </row>
    <row r="115" spans="1:4" x14ac:dyDescent="0.2">
      <c r="A115" s="206"/>
      <c r="B115" s="197"/>
      <c r="C115" s="229"/>
      <c r="D115" s="229"/>
    </row>
    <row r="116" spans="1:4" x14ac:dyDescent="0.2">
      <c r="A116" s="225" t="s">
        <v>92</v>
      </c>
      <c r="B116" s="225"/>
      <c r="C116" s="234"/>
      <c r="D116" s="235"/>
    </row>
    <row r="117" spans="1:4" x14ac:dyDescent="0.2">
      <c r="A117" s="225" t="s">
        <v>94</v>
      </c>
      <c r="B117" s="225"/>
      <c r="C117" s="235"/>
      <c r="D117" s="235"/>
    </row>
    <row r="118" spans="1:4" x14ac:dyDescent="0.2">
      <c r="A118" s="239" t="s">
        <v>93</v>
      </c>
      <c r="B118" s="239"/>
      <c r="C118" s="235"/>
      <c r="D118" s="235"/>
    </row>
    <row r="119" spans="1:4" x14ac:dyDescent="0.2">
      <c r="A119" s="95" t="s">
        <v>9</v>
      </c>
      <c r="B119" s="96" t="s">
        <v>90</v>
      </c>
      <c r="C119" s="128">
        <v>0.1</v>
      </c>
      <c r="D119" s="129">
        <f>(D103*C119)</f>
        <v>370.0459166666667</v>
      </c>
    </row>
    <row r="120" spans="1:4" x14ac:dyDescent="0.2">
      <c r="A120" s="240" t="s">
        <v>91</v>
      </c>
      <c r="B120" s="240"/>
      <c r="C120" s="109"/>
      <c r="D120" s="130">
        <f>D119+D114</f>
        <v>444.05510000000004</v>
      </c>
    </row>
    <row r="122" spans="1:4" x14ac:dyDescent="0.2">
      <c r="A122" s="222" t="s">
        <v>98</v>
      </c>
      <c r="B122" s="222"/>
    </row>
    <row r="124" spans="1:4" ht="15" customHeight="1" x14ac:dyDescent="0.2">
      <c r="A124" s="206" t="s">
        <v>110</v>
      </c>
      <c r="B124" s="206"/>
      <c r="C124" s="206"/>
      <c r="D124" s="206"/>
    </row>
    <row r="125" spans="1:4" ht="24" customHeight="1" x14ac:dyDescent="0.2">
      <c r="A125" s="206"/>
      <c r="B125" s="206"/>
      <c r="C125" s="206"/>
      <c r="D125" s="206"/>
    </row>
    <row r="126" spans="1:4" ht="15.75" customHeight="1" x14ac:dyDescent="0.2">
      <c r="A126" s="206" t="s">
        <v>99</v>
      </c>
      <c r="B126" s="206"/>
      <c r="C126" s="94" t="s">
        <v>23</v>
      </c>
      <c r="D126" s="131" t="s">
        <v>24</v>
      </c>
    </row>
    <row r="127" spans="1:4" x14ac:dyDescent="0.2">
      <c r="A127" s="101"/>
      <c r="B127" s="132" t="s">
        <v>101</v>
      </c>
      <c r="C127" s="128">
        <v>0.03</v>
      </c>
      <c r="D127" s="133">
        <f>($D$120+$D$103)*C127</f>
        <v>124.33542800000001</v>
      </c>
    </row>
    <row r="128" spans="1:4" x14ac:dyDescent="0.2">
      <c r="A128" s="134" t="s">
        <v>7</v>
      </c>
      <c r="B128" s="135" t="s">
        <v>102</v>
      </c>
      <c r="C128" s="136">
        <v>6.4999999999999997E-3</v>
      </c>
      <c r="D128" s="133">
        <f>($D$120+$D$103)*C128</f>
        <v>26.939342733333334</v>
      </c>
    </row>
    <row r="129" spans="1:4" ht="23.25" customHeight="1" x14ac:dyDescent="0.2">
      <c r="A129" s="137" t="s">
        <v>100</v>
      </c>
      <c r="B129" s="206" t="s">
        <v>109</v>
      </c>
      <c r="C129" s="228">
        <v>1.4999999999999999E-2</v>
      </c>
      <c r="D129" s="230">
        <f>(D120+D103)*C129</f>
        <v>62.167714000000004</v>
      </c>
    </row>
    <row r="130" spans="1:4" ht="12.75" customHeight="1" x14ac:dyDescent="0.2">
      <c r="A130" s="138"/>
      <c r="B130" s="206"/>
      <c r="C130" s="229"/>
      <c r="D130" s="230"/>
    </row>
    <row r="131" spans="1:4" ht="15.75" customHeight="1" x14ac:dyDescent="0.2">
      <c r="A131" s="139" t="s">
        <v>9</v>
      </c>
      <c r="B131" s="96" t="s">
        <v>104</v>
      </c>
      <c r="C131" s="128"/>
      <c r="D131" s="41"/>
    </row>
    <row r="132" spans="1:4" ht="26.25" customHeight="1" x14ac:dyDescent="0.2">
      <c r="A132" s="137" t="s">
        <v>103</v>
      </c>
      <c r="B132" s="96" t="s">
        <v>105</v>
      </c>
      <c r="C132" s="128">
        <v>0.05</v>
      </c>
      <c r="D132" s="133">
        <f>($D$120+$D$103)*C132</f>
        <v>207.22571333333337</v>
      </c>
    </row>
    <row r="133" spans="1:4" x14ac:dyDescent="0.2">
      <c r="A133" s="94" t="s">
        <v>11</v>
      </c>
      <c r="B133" s="140" t="s">
        <v>106</v>
      </c>
      <c r="C133" s="109"/>
      <c r="D133" s="41"/>
    </row>
    <row r="134" spans="1:4" ht="15.75" customHeight="1" x14ac:dyDescent="0.2">
      <c r="A134" s="248" t="s">
        <v>107</v>
      </c>
      <c r="B134" s="249"/>
      <c r="C134" s="141">
        <f>D134/(D120+D103)</f>
        <v>0.10150000000000001</v>
      </c>
      <c r="D134" s="142">
        <f>SUM(D127:D133)</f>
        <v>420.66819806666672</v>
      </c>
    </row>
    <row r="135" spans="1:4" ht="15.75" customHeight="1" x14ac:dyDescent="0.2">
      <c r="A135" s="206" t="s">
        <v>108</v>
      </c>
      <c r="B135" s="143" t="s">
        <v>111</v>
      </c>
      <c r="C135" s="247"/>
      <c r="D135" s="247"/>
    </row>
    <row r="136" spans="1:4" x14ac:dyDescent="0.2">
      <c r="A136" s="206"/>
      <c r="B136" s="144" t="s">
        <v>112</v>
      </c>
      <c r="C136" s="247"/>
      <c r="D136" s="247"/>
    </row>
    <row r="139" spans="1:4" x14ac:dyDescent="0.2">
      <c r="A139" s="145" t="s">
        <v>227</v>
      </c>
      <c r="B139" s="146"/>
      <c r="C139" s="146"/>
      <c r="D139" s="146"/>
    </row>
    <row r="140" spans="1:4" x14ac:dyDescent="0.2">
      <c r="A140" s="145"/>
      <c r="B140" s="146"/>
      <c r="C140" s="146"/>
      <c r="D140" s="146"/>
    </row>
    <row r="141" spans="1:4" x14ac:dyDescent="0.2">
      <c r="A141" s="95" t="s">
        <v>114</v>
      </c>
      <c r="B141" s="250" t="s">
        <v>115</v>
      </c>
      <c r="C141" s="250"/>
      <c r="D141" s="147" t="s">
        <v>116</v>
      </c>
    </row>
    <row r="142" spans="1:4" x14ac:dyDescent="0.2">
      <c r="A142" s="95" t="s">
        <v>7</v>
      </c>
      <c r="B142" s="96" t="s">
        <v>117</v>
      </c>
      <c r="C142" s="41"/>
      <c r="D142" s="148">
        <f>D19+D29</f>
        <v>2410.5100000000002</v>
      </c>
    </row>
    <row r="143" spans="1:4" x14ac:dyDescent="0.2">
      <c r="A143" s="95" t="s">
        <v>9</v>
      </c>
      <c r="B143" s="96" t="s">
        <v>118</v>
      </c>
      <c r="C143" s="96" t="s">
        <v>23</v>
      </c>
      <c r="D143" s="148">
        <f>D95</f>
        <v>1195</v>
      </c>
    </row>
    <row r="144" spans="1:4" x14ac:dyDescent="0.2">
      <c r="A144" s="95" t="s">
        <v>11</v>
      </c>
      <c r="B144" s="96" t="s">
        <v>119</v>
      </c>
      <c r="C144" s="41"/>
      <c r="D144" s="148">
        <f>D36</f>
        <v>94.949166666666656</v>
      </c>
    </row>
    <row r="145" spans="1:4" x14ac:dyDescent="0.2">
      <c r="A145" s="95" t="s">
        <v>13</v>
      </c>
      <c r="B145" s="96" t="s">
        <v>120</v>
      </c>
      <c r="C145" s="41"/>
      <c r="D145" s="148">
        <f>SUM(D142:D144)</f>
        <v>3700.459166666667</v>
      </c>
    </row>
    <row r="146" spans="1:4" x14ac:dyDescent="0.2">
      <c r="A146" s="41"/>
      <c r="B146" s="96" t="s">
        <v>121</v>
      </c>
      <c r="C146" s="41"/>
      <c r="D146" s="149">
        <f>D145+D134</f>
        <v>4121.1273647333337</v>
      </c>
    </row>
    <row r="147" spans="1:4" x14ac:dyDescent="0.2">
      <c r="A147" s="150"/>
      <c r="B147" s="146"/>
      <c r="C147" s="146"/>
      <c r="D147" s="146"/>
    </row>
    <row r="148" spans="1:4" ht="57.75" customHeight="1" x14ac:dyDescent="0.2">
      <c r="A148" s="251" t="s">
        <v>228</v>
      </c>
      <c r="B148" s="251"/>
      <c r="C148" s="251"/>
      <c r="D148" s="251"/>
    </row>
    <row r="149" spans="1:4" ht="46.5" customHeight="1" x14ac:dyDescent="0.2">
      <c r="A149" s="252" t="s">
        <v>229</v>
      </c>
      <c r="B149" s="252"/>
      <c r="C149" s="252"/>
      <c r="D149" s="252"/>
    </row>
    <row r="150" spans="1:4" ht="76.5" customHeight="1" x14ac:dyDescent="0.2">
      <c r="A150" s="244" t="s">
        <v>230</v>
      </c>
      <c r="B150" s="244"/>
      <c r="C150" s="244"/>
      <c r="D150" s="244"/>
    </row>
    <row r="153" spans="1:4" x14ac:dyDescent="0.2">
      <c r="A153" s="151" t="s">
        <v>125</v>
      </c>
      <c r="B153" s="146"/>
      <c r="C153" s="146"/>
    </row>
    <row r="154" spans="1:4" x14ac:dyDescent="0.2">
      <c r="A154" s="150"/>
      <c r="B154" s="146"/>
      <c r="C154" s="146"/>
    </row>
    <row r="155" spans="1:4" ht="15" customHeight="1" x14ac:dyDescent="0.2">
      <c r="A155" s="241" t="s">
        <v>126</v>
      </c>
      <c r="B155" s="242"/>
      <c r="C155" s="243"/>
      <c r="D155" s="41"/>
    </row>
    <row r="156" spans="1:4" x14ac:dyDescent="0.2">
      <c r="A156" s="41"/>
      <c r="B156" s="241" t="s">
        <v>127</v>
      </c>
      <c r="C156" s="243"/>
      <c r="D156" s="152" t="s">
        <v>128</v>
      </c>
    </row>
    <row r="157" spans="1:4" x14ac:dyDescent="0.2">
      <c r="A157" s="95" t="s">
        <v>7</v>
      </c>
      <c r="B157" s="245" t="s">
        <v>129</v>
      </c>
      <c r="C157" s="246"/>
      <c r="D157" s="148">
        <f>D142</f>
        <v>2410.5100000000002</v>
      </c>
    </row>
    <row r="158" spans="1:4" x14ac:dyDescent="0.2">
      <c r="A158" s="95" t="s">
        <v>9</v>
      </c>
      <c r="B158" s="245" t="s">
        <v>130</v>
      </c>
      <c r="C158" s="246"/>
      <c r="D158" s="148">
        <f>D144</f>
        <v>94.949166666666656</v>
      </c>
    </row>
    <row r="159" spans="1:4" x14ac:dyDescent="0.2">
      <c r="A159" s="95" t="s">
        <v>11</v>
      </c>
      <c r="B159" s="245" t="s">
        <v>131</v>
      </c>
      <c r="C159" s="246"/>
      <c r="D159" s="133">
        <f>D134</f>
        <v>420.66819806666672</v>
      </c>
    </row>
    <row r="160" spans="1:4" x14ac:dyDescent="0.2">
      <c r="A160" s="95" t="s">
        <v>13</v>
      </c>
      <c r="B160" s="245" t="s">
        <v>99</v>
      </c>
      <c r="C160" s="246"/>
      <c r="D160" s="148">
        <f>D143</f>
        <v>1195</v>
      </c>
    </row>
    <row r="161" spans="1:4" x14ac:dyDescent="0.2">
      <c r="A161" s="95" t="s">
        <v>15</v>
      </c>
      <c r="B161" s="245" t="s">
        <v>132</v>
      </c>
      <c r="C161" s="246"/>
      <c r="D161" s="148">
        <f>SUM(D157:D160)</f>
        <v>4121.1273647333337</v>
      </c>
    </row>
    <row r="162" spans="1:4" ht="24" customHeight="1" x14ac:dyDescent="0.2">
      <c r="A162" s="95" t="s">
        <v>17</v>
      </c>
      <c r="B162" s="245" t="s">
        <v>133</v>
      </c>
      <c r="C162" s="246"/>
      <c r="D162" s="148">
        <f>D161/96000</f>
        <v>4.292841004930556E-2</v>
      </c>
    </row>
    <row r="163" spans="1:4" x14ac:dyDescent="0.2">
      <c r="A163" s="95" t="s">
        <v>19</v>
      </c>
      <c r="B163" s="245" t="s">
        <v>134</v>
      </c>
      <c r="C163" s="246"/>
      <c r="D163" s="153">
        <v>8490</v>
      </c>
    </row>
    <row r="164" spans="1:4" ht="24" customHeight="1" x14ac:dyDescent="0.2">
      <c r="A164" s="95" t="s">
        <v>21</v>
      </c>
      <c r="B164" s="245" t="s">
        <v>135</v>
      </c>
      <c r="C164" s="246"/>
      <c r="D164" s="154">
        <f>(D163*D162)/2030</f>
        <v>0.17953803020620898</v>
      </c>
    </row>
    <row r="167" spans="1:4" ht="15.75" customHeight="1" x14ac:dyDescent="0.2">
      <c r="A167" s="254" t="s">
        <v>226</v>
      </c>
      <c r="B167" s="254"/>
      <c r="C167" s="254"/>
      <c r="D167" s="254"/>
    </row>
    <row r="168" spans="1:4" ht="30" customHeight="1" x14ac:dyDescent="0.2">
      <c r="A168" s="254"/>
      <c r="B168" s="254"/>
      <c r="C168" s="254"/>
      <c r="D168" s="254"/>
    </row>
    <row r="170" spans="1:4" ht="31.5" customHeight="1" x14ac:dyDescent="0.2">
      <c r="A170" s="253"/>
      <c r="B170" s="253"/>
      <c r="C170" s="253"/>
      <c r="D170" s="253"/>
    </row>
    <row r="171" spans="1:4" ht="33.75" customHeight="1" x14ac:dyDescent="0.2">
      <c r="A171" s="253"/>
      <c r="B171" s="253"/>
      <c r="C171" s="253"/>
      <c r="D171" s="253"/>
    </row>
    <row r="172" spans="1:4" ht="33" customHeight="1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</sheetData>
  <mergeCells count="138">
    <mergeCell ref="A1:B1"/>
    <mergeCell ref="A2:C2"/>
    <mergeCell ref="B3:C3"/>
    <mergeCell ref="A4:C4"/>
    <mergeCell ref="A5:C5"/>
    <mergeCell ref="A6:C6"/>
    <mergeCell ref="B25:C25"/>
    <mergeCell ref="B26:C26"/>
    <mergeCell ref="B27:C27"/>
    <mergeCell ref="B28:C28"/>
    <mergeCell ref="A31:C31"/>
    <mergeCell ref="B32:C32"/>
    <mergeCell ref="A8:D8"/>
    <mergeCell ref="A10:B10"/>
    <mergeCell ref="A21:C21"/>
    <mergeCell ref="B22:C22"/>
    <mergeCell ref="B23:C23"/>
    <mergeCell ref="B24:C24"/>
    <mergeCell ref="B33:C33"/>
    <mergeCell ref="B34:C34"/>
    <mergeCell ref="B35:C35"/>
    <mergeCell ref="A36:C36"/>
    <mergeCell ref="A37:D37"/>
    <mergeCell ref="A40:B40"/>
    <mergeCell ref="C40:C41"/>
    <mergeCell ref="D40:D41"/>
    <mergeCell ref="A41:B41"/>
    <mergeCell ref="A58:A59"/>
    <mergeCell ref="C58:C59"/>
    <mergeCell ref="D58:D59"/>
    <mergeCell ref="A60:A61"/>
    <mergeCell ref="C60:C61"/>
    <mergeCell ref="D60:D61"/>
    <mergeCell ref="A50:B50"/>
    <mergeCell ref="A53:B53"/>
    <mergeCell ref="A54:A55"/>
    <mergeCell ref="C54:C55"/>
    <mergeCell ref="D54:D55"/>
    <mergeCell ref="A56:A57"/>
    <mergeCell ref="C56:C57"/>
    <mergeCell ref="D56:D57"/>
    <mergeCell ref="A66:A67"/>
    <mergeCell ref="C66:C67"/>
    <mergeCell ref="D66:D67"/>
    <mergeCell ref="A68:A69"/>
    <mergeCell ref="C68:C69"/>
    <mergeCell ref="D68:D69"/>
    <mergeCell ref="A62:A63"/>
    <mergeCell ref="C62:C63"/>
    <mergeCell ref="D62:D63"/>
    <mergeCell ref="A64:A65"/>
    <mergeCell ref="C64:C65"/>
    <mergeCell ref="D64:D65"/>
    <mergeCell ref="A79:A82"/>
    <mergeCell ref="B79:B80"/>
    <mergeCell ref="C79:C80"/>
    <mergeCell ref="D79:D80"/>
    <mergeCell ref="B81:B82"/>
    <mergeCell ref="C81:C82"/>
    <mergeCell ref="D81:D82"/>
    <mergeCell ref="A70:B70"/>
    <mergeCell ref="A73:B73"/>
    <mergeCell ref="A74:A75"/>
    <mergeCell ref="C74:C75"/>
    <mergeCell ref="D74:D75"/>
    <mergeCell ref="A76:A77"/>
    <mergeCell ref="C76:C77"/>
    <mergeCell ref="D76:D77"/>
    <mergeCell ref="A91:C91"/>
    <mergeCell ref="A92:A93"/>
    <mergeCell ref="B92:C92"/>
    <mergeCell ref="D92:D93"/>
    <mergeCell ref="B93:C93"/>
    <mergeCell ref="A94:B95"/>
    <mergeCell ref="A83:B83"/>
    <mergeCell ref="A86:B86"/>
    <mergeCell ref="A87:A88"/>
    <mergeCell ref="B87:B88"/>
    <mergeCell ref="C87:C88"/>
    <mergeCell ref="D87:D88"/>
    <mergeCell ref="A105:B105"/>
    <mergeCell ref="A107:B107"/>
    <mergeCell ref="A108:B108"/>
    <mergeCell ref="C108:C110"/>
    <mergeCell ref="D108:D110"/>
    <mergeCell ref="A109:B109"/>
    <mergeCell ref="A110:B110"/>
    <mergeCell ref="A98:D98"/>
    <mergeCell ref="A99:D99"/>
    <mergeCell ref="A100:C100"/>
    <mergeCell ref="A101:C101"/>
    <mergeCell ref="A102:C102"/>
    <mergeCell ref="A103:C103"/>
    <mergeCell ref="A111:B111"/>
    <mergeCell ref="C111:C113"/>
    <mergeCell ref="D111:D113"/>
    <mergeCell ref="A112:B112"/>
    <mergeCell ref="A113:B113"/>
    <mergeCell ref="A114:A115"/>
    <mergeCell ref="B114:B115"/>
    <mergeCell ref="C114:C115"/>
    <mergeCell ref="D114:D115"/>
    <mergeCell ref="A122:B122"/>
    <mergeCell ref="A124:C125"/>
    <mergeCell ref="D124:D125"/>
    <mergeCell ref="A126:B126"/>
    <mergeCell ref="B129:B130"/>
    <mergeCell ref="C129:C130"/>
    <mergeCell ref="D129:D130"/>
    <mergeCell ref="A116:B116"/>
    <mergeCell ref="C116:C118"/>
    <mergeCell ref="D116:D118"/>
    <mergeCell ref="A117:B117"/>
    <mergeCell ref="A118:B118"/>
    <mergeCell ref="A120:B120"/>
    <mergeCell ref="A149:D149"/>
    <mergeCell ref="A150:D150"/>
    <mergeCell ref="A155:C155"/>
    <mergeCell ref="B156:C156"/>
    <mergeCell ref="B157:C157"/>
    <mergeCell ref="B158:C158"/>
    <mergeCell ref="A134:B134"/>
    <mergeCell ref="A135:A136"/>
    <mergeCell ref="C135:C136"/>
    <mergeCell ref="D135:D136"/>
    <mergeCell ref="B141:C141"/>
    <mergeCell ref="A148:D148"/>
    <mergeCell ref="A167:D168"/>
    <mergeCell ref="A170:D170"/>
    <mergeCell ref="A171:D171"/>
    <mergeCell ref="A172:D172"/>
    <mergeCell ref="A173:D174"/>
    <mergeCell ref="B159:C159"/>
    <mergeCell ref="B160:C160"/>
    <mergeCell ref="B161:C161"/>
    <mergeCell ref="B162:C162"/>
    <mergeCell ref="B163:C163"/>
    <mergeCell ref="B164:C16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4"/>
  <sheetViews>
    <sheetView topLeftCell="A145" zoomScale="140" zoomScaleNormal="140" workbookViewId="0">
      <selection activeCell="A170" sqref="A170:D174"/>
    </sheetView>
  </sheetViews>
  <sheetFormatPr defaultRowHeight="11.25" x14ac:dyDescent="0.2"/>
  <cols>
    <col min="1" max="1" width="21.42578125" style="89" customWidth="1"/>
    <col min="2" max="2" width="39" style="89" customWidth="1"/>
    <col min="3" max="3" width="9.85546875" style="89" customWidth="1"/>
    <col min="4" max="4" width="14" style="90" bestFit="1" customWidth="1"/>
    <col min="5" max="5" width="9.140625" style="89"/>
    <col min="6" max="6" width="13.28515625" style="89" bestFit="1" customWidth="1"/>
    <col min="7" max="16384" width="9.140625" style="89"/>
  </cols>
  <sheetData>
    <row r="1" spans="1:4" x14ac:dyDescent="0.2">
      <c r="A1" s="193" t="s">
        <v>4</v>
      </c>
      <c r="B1" s="193"/>
    </row>
    <row r="2" spans="1:4" x14ac:dyDescent="0.2">
      <c r="A2" s="203"/>
      <c r="B2" s="203"/>
      <c r="C2" s="203"/>
    </row>
    <row r="3" spans="1:4" x14ac:dyDescent="0.2">
      <c r="A3" s="91"/>
      <c r="B3" s="201" t="s">
        <v>233</v>
      </c>
      <c r="C3" s="202"/>
      <c r="D3" s="92"/>
    </row>
    <row r="4" spans="1:4" x14ac:dyDescent="0.2">
      <c r="A4" s="196" t="s">
        <v>0</v>
      </c>
      <c r="B4" s="197"/>
      <c r="C4" s="197"/>
      <c r="D4" s="92"/>
    </row>
    <row r="5" spans="1:4" x14ac:dyDescent="0.2">
      <c r="A5" s="197" t="s">
        <v>1</v>
      </c>
      <c r="B5" s="197"/>
      <c r="C5" s="197"/>
      <c r="D5" s="92"/>
    </row>
    <row r="6" spans="1:4" x14ac:dyDescent="0.2">
      <c r="A6" s="197" t="s">
        <v>2</v>
      </c>
      <c r="B6" s="197"/>
      <c r="C6" s="197"/>
      <c r="D6" s="92"/>
    </row>
    <row r="8" spans="1:4" x14ac:dyDescent="0.2">
      <c r="A8" s="194" t="s">
        <v>5</v>
      </c>
      <c r="B8" s="194"/>
      <c r="C8" s="194"/>
      <c r="D8" s="194"/>
    </row>
    <row r="9" spans="1:4" x14ac:dyDescent="0.2">
      <c r="A9" s="93"/>
      <c r="B9" s="93"/>
      <c r="C9" s="93"/>
      <c r="D9" s="93"/>
    </row>
    <row r="10" spans="1:4" x14ac:dyDescent="0.2">
      <c r="A10" s="195" t="s">
        <v>6</v>
      </c>
      <c r="B10" s="195"/>
      <c r="C10" s="94" t="s">
        <v>23</v>
      </c>
      <c r="D10" s="94" t="s">
        <v>24</v>
      </c>
    </row>
    <row r="11" spans="1:4" x14ac:dyDescent="0.2">
      <c r="A11" s="95" t="s">
        <v>7</v>
      </c>
      <c r="B11" s="96" t="s">
        <v>8</v>
      </c>
      <c r="C11" s="87"/>
      <c r="D11" s="178">
        <v>1809.85</v>
      </c>
    </row>
    <row r="12" spans="1:4" x14ac:dyDescent="0.2">
      <c r="A12" s="95" t="s">
        <v>9</v>
      </c>
      <c r="B12" s="96" t="s">
        <v>10</v>
      </c>
      <c r="C12" s="87"/>
      <c r="D12" s="97"/>
    </row>
    <row r="13" spans="1:4" x14ac:dyDescent="0.2">
      <c r="A13" s="95" t="s">
        <v>11</v>
      </c>
      <c r="B13" s="96" t="s">
        <v>12</v>
      </c>
      <c r="C13" s="87"/>
      <c r="D13" s="178">
        <v>484.6</v>
      </c>
    </row>
    <row r="14" spans="1:4" x14ac:dyDescent="0.2">
      <c r="A14" s="95" t="s">
        <v>13</v>
      </c>
      <c r="B14" s="96" t="s">
        <v>14</v>
      </c>
      <c r="C14" s="98"/>
      <c r="D14" s="97"/>
    </row>
    <row r="15" spans="1:4" x14ac:dyDescent="0.2">
      <c r="A15" s="95" t="s">
        <v>15</v>
      </c>
      <c r="B15" s="96" t="s">
        <v>16</v>
      </c>
      <c r="C15" s="87"/>
      <c r="D15" s="97"/>
    </row>
    <row r="16" spans="1:4" x14ac:dyDescent="0.2">
      <c r="A16" s="95" t="s">
        <v>17</v>
      </c>
      <c r="B16" s="96" t="s">
        <v>18</v>
      </c>
      <c r="C16" s="87"/>
      <c r="D16" s="97"/>
    </row>
    <row r="17" spans="1:5" x14ac:dyDescent="0.2">
      <c r="A17" s="95" t="s">
        <v>19</v>
      </c>
      <c r="B17" s="96" t="s">
        <v>20</v>
      </c>
      <c r="C17" s="87"/>
      <c r="D17" s="97"/>
    </row>
    <row r="18" spans="1:5" x14ac:dyDescent="0.2">
      <c r="A18" s="95" t="s">
        <v>21</v>
      </c>
      <c r="B18" s="96" t="s">
        <v>244</v>
      </c>
      <c r="C18" s="87"/>
      <c r="D18" s="97">
        <v>46</v>
      </c>
    </row>
    <row r="19" spans="1:5" x14ac:dyDescent="0.2">
      <c r="A19" s="95"/>
      <c r="B19" s="96" t="s">
        <v>211</v>
      </c>
      <c r="C19" s="87"/>
      <c r="D19" s="99">
        <f>SUM(D11:D18)</f>
        <v>2340.4499999999998</v>
      </c>
    </row>
    <row r="21" spans="1:5" x14ac:dyDescent="0.2">
      <c r="A21" s="195" t="s">
        <v>25</v>
      </c>
      <c r="B21" s="195"/>
      <c r="C21" s="195"/>
      <c r="D21" s="94" t="s">
        <v>24</v>
      </c>
      <c r="E21" s="100"/>
    </row>
    <row r="22" spans="1:5" x14ac:dyDescent="0.2">
      <c r="A22" s="95" t="s">
        <v>7</v>
      </c>
      <c r="B22" s="197" t="s">
        <v>26</v>
      </c>
      <c r="C22" s="197"/>
      <c r="D22" s="178">
        <v>164</v>
      </c>
      <c r="E22" s="101"/>
    </row>
    <row r="23" spans="1:5" x14ac:dyDescent="0.2">
      <c r="A23" s="95" t="s">
        <v>9</v>
      </c>
      <c r="B23" s="197" t="s">
        <v>27</v>
      </c>
      <c r="C23" s="197"/>
      <c r="D23" s="178">
        <v>300</v>
      </c>
      <c r="E23" s="101"/>
    </row>
    <row r="24" spans="1:5" x14ac:dyDescent="0.2">
      <c r="A24" s="95" t="s">
        <v>11</v>
      </c>
      <c r="B24" s="197" t="s">
        <v>210</v>
      </c>
      <c r="C24" s="197"/>
      <c r="D24" s="97"/>
      <c r="E24" s="101"/>
    </row>
    <row r="25" spans="1:5" x14ac:dyDescent="0.2">
      <c r="A25" s="95" t="s">
        <v>13</v>
      </c>
      <c r="B25" s="197" t="s">
        <v>209</v>
      </c>
      <c r="C25" s="197"/>
      <c r="D25" s="97"/>
      <c r="E25" s="101"/>
    </row>
    <row r="26" spans="1:5" x14ac:dyDescent="0.2">
      <c r="A26" s="95" t="s">
        <v>15</v>
      </c>
      <c r="B26" s="197" t="s">
        <v>30</v>
      </c>
      <c r="C26" s="197"/>
      <c r="D26" s="97"/>
      <c r="E26" s="101"/>
    </row>
    <row r="27" spans="1:5" x14ac:dyDescent="0.2">
      <c r="A27" s="95" t="s">
        <v>17</v>
      </c>
      <c r="B27" s="197" t="s">
        <v>31</v>
      </c>
      <c r="C27" s="197"/>
      <c r="D27" s="97"/>
      <c r="E27" s="101"/>
    </row>
    <row r="28" spans="1:5" x14ac:dyDescent="0.2">
      <c r="A28" s="95" t="s">
        <v>19</v>
      </c>
      <c r="B28" s="197" t="s">
        <v>22</v>
      </c>
      <c r="C28" s="197"/>
      <c r="D28" s="97"/>
      <c r="E28" s="101"/>
    </row>
    <row r="29" spans="1:5" x14ac:dyDescent="0.2">
      <c r="A29" s="95"/>
      <c r="B29" s="96" t="s">
        <v>211</v>
      </c>
      <c r="C29" s="87"/>
      <c r="D29" s="99">
        <f>SUM(D21:D28)</f>
        <v>464</v>
      </c>
    </row>
    <row r="31" spans="1:5" x14ac:dyDescent="0.2">
      <c r="A31" s="195" t="s">
        <v>32</v>
      </c>
      <c r="B31" s="195"/>
      <c r="C31" s="195"/>
      <c r="D31" s="94" t="s">
        <v>24</v>
      </c>
      <c r="E31" s="101"/>
    </row>
    <row r="32" spans="1:5" x14ac:dyDescent="0.2">
      <c r="A32" s="95" t="s">
        <v>7</v>
      </c>
      <c r="B32" s="197" t="s">
        <v>33</v>
      </c>
      <c r="C32" s="197"/>
      <c r="D32" s="97">
        <f>(66.9*3)/12</f>
        <v>16.725000000000001</v>
      </c>
      <c r="E32" s="101"/>
    </row>
    <row r="33" spans="1:9" x14ac:dyDescent="0.2">
      <c r="A33" s="95" t="s">
        <v>9</v>
      </c>
      <c r="B33" s="197" t="s">
        <v>34</v>
      </c>
      <c r="C33" s="197"/>
      <c r="D33" s="97">
        <f>106.25/12</f>
        <v>8.8541666666666661</v>
      </c>
      <c r="E33" s="101"/>
    </row>
    <row r="34" spans="1:9" x14ac:dyDescent="0.2">
      <c r="A34" s="95" t="s">
        <v>11</v>
      </c>
      <c r="B34" s="197" t="s">
        <v>35</v>
      </c>
      <c r="C34" s="197"/>
      <c r="D34" s="97">
        <f>7.8+(6*7.2)+2.05+2.9+11.42</f>
        <v>67.36999999999999</v>
      </c>
      <c r="E34" s="101"/>
    </row>
    <row r="35" spans="1:9" x14ac:dyDescent="0.2">
      <c r="A35" s="95" t="s">
        <v>13</v>
      </c>
      <c r="B35" s="197" t="s">
        <v>36</v>
      </c>
      <c r="C35" s="197"/>
      <c r="D35" s="97">
        <f>2</f>
        <v>2</v>
      </c>
      <c r="E35" s="101"/>
    </row>
    <row r="36" spans="1:9" x14ac:dyDescent="0.2">
      <c r="A36" s="197" t="s">
        <v>37</v>
      </c>
      <c r="B36" s="197"/>
      <c r="C36" s="197"/>
      <c r="D36" s="102">
        <f>SUM(D32:D35)</f>
        <v>94.949166666666656</v>
      </c>
      <c r="E36" s="101"/>
    </row>
    <row r="37" spans="1:9" x14ac:dyDescent="0.2">
      <c r="A37" s="200" t="s">
        <v>38</v>
      </c>
      <c r="B37" s="200"/>
      <c r="C37" s="200"/>
      <c r="D37" s="200"/>
      <c r="E37" s="100"/>
    </row>
    <row r="38" spans="1:9" x14ac:dyDescent="0.2">
      <c r="A38" s="103"/>
      <c r="B38" s="103"/>
      <c r="C38" s="103"/>
      <c r="D38" s="104"/>
      <c r="E38" s="100"/>
    </row>
    <row r="40" spans="1:9" x14ac:dyDescent="0.2">
      <c r="A40" s="195" t="s">
        <v>39</v>
      </c>
      <c r="B40" s="195"/>
      <c r="C40" s="195" t="s">
        <v>23</v>
      </c>
      <c r="D40" s="195" t="s">
        <v>24</v>
      </c>
    </row>
    <row r="41" spans="1:9" x14ac:dyDescent="0.2">
      <c r="A41" s="195" t="s">
        <v>40</v>
      </c>
      <c r="B41" s="195"/>
      <c r="C41" s="195"/>
      <c r="D41" s="195"/>
    </row>
    <row r="42" spans="1:9" x14ac:dyDescent="0.2">
      <c r="A42" s="95">
        <v>1</v>
      </c>
      <c r="B42" s="96" t="s">
        <v>41</v>
      </c>
      <c r="C42" s="105">
        <v>0.09</v>
      </c>
      <c r="D42" s="179">
        <v>208.3</v>
      </c>
    </row>
    <row r="43" spans="1:9" x14ac:dyDescent="0.2">
      <c r="A43" s="95">
        <v>2</v>
      </c>
      <c r="B43" s="96" t="s">
        <v>42</v>
      </c>
      <c r="C43" s="41"/>
      <c r="D43" s="87"/>
    </row>
    <row r="44" spans="1:9" x14ac:dyDescent="0.2">
      <c r="A44" s="95">
        <v>3</v>
      </c>
      <c r="B44" s="96" t="s">
        <v>43</v>
      </c>
      <c r="C44" s="41"/>
      <c r="D44" s="87"/>
    </row>
    <row r="45" spans="1:9" x14ac:dyDescent="0.2">
      <c r="A45" s="95">
        <v>4</v>
      </c>
      <c r="B45" s="96" t="s">
        <v>44</v>
      </c>
      <c r="C45" s="41"/>
      <c r="D45" s="87"/>
    </row>
    <row r="46" spans="1:9" x14ac:dyDescent="0.2">
      <c r="A46" s="95">
        <v>5</v>
      </c>
      <c r="B46" s="96" t="s">
        <v>45</v>
      </c>
      <c r="C46" s="41"/>
      <c r="D46" s="87"/>
    </row>
    <row r="47" spans="1:9" x14ac:dyDescent="0.2">
      <c r="A47" s="95">
        <v>6</v>
      </c>
      <c r="B47" s="96" t="s">
        <v>46</v>
      </c>
      <c r="C47" s="107">
        <v>0.08</v>
      </c>
      <c r="D47" s="179">
        <v>187.23</v>
      </c>
      <c r="I47" s="108"/>
    </row>
    <row r="48" spans="1:9" x14ac:dyDescent="0.2">
      <c r="A48" s="95">
        <v>7</v>
      </c>
      <c r="B48" s="96" t="s">
        <v>47</v>
      </c>
      <c r="C48" s="41"/>
      <c r="D48" s="87"/>
    </row>
    <row r="49" spans="1:6" x14ac:dyDescent="0.2">
      <c r="A49" s="95">
        <v>8</v>
      </c>
      <c r="B49" s="96" t="s">
        <v>48</v>
      </c>
      <c r="C49" s="41"/>
      <c r="D49" s="87"/>
    </row>
    <row r="50" spans="1:6" x14ac:dyDescent="0.2">
      <c r="A50" s="207" t="s">
        <v>49</v>
      </c>
      <c r="B50" s="207"/>
      <c r="C50" s="109"/>
      <c r="D50" s="110">
        <f>SUM(D42:D49)</f>
        <v>395.53</v>
      </c>
    </row>
    <row r="51" spans="1:6" x14ac:dyDescent="0.2">
      <c r="A51" s="100"/>
      <c r="B51" s="100"/>
    </row>
    <row r="53" spans="1:6" x14ac:dyDescent="0.2">
      <c r="A53" s="204" t="s">
        <v>50</v>
      </c>
      <c r="B53" s="204"/>
      <c r="C53" s="94" t="s">
        <v>23</v>
      </c>
      <c r="D53" s="111" t="s">
        <v>24</v>
      </c>
    </row>
    <row r="54" spans="1:6" x14ac:dyDescent="0.2">
      <c r="A54" s="205">
        <v>9</v>
      </c>
      <c r="B54" s="112" t="s">
        <v>51</v>
      </c>
      <c r="C54" s="208">
        <v>0.111</v>
      </c>
      <c r="D54" s="198">
        <f>C54*($D$11+$D$13)</f>
        <v>254.68394999999998</v>
      </c>
    </row>
    <row r="55" spans="1:6" ht="22.5" x14ac:dyDescent="0.2">
      <c r="A55" s="205"/>
      <c r="B55" s="113" t="s">
        <v>52</v>
      </c>
      <c r="C55" s="206"/>
      <c r="D55" s="199"/>
      <c r="E55" s="114"/>
      <c r="F55" s="115"/>
    </row>
    <row r="56" spans="1:6" x14ac:dyDescent="0.2">
      <c r="A56" s="206">
        <v>10</v>
      </c>
      <c r="B56" s="112" t="s">
        <v>53</v>
      </c>
      <c r="C56" s="208">
        <v>1.3899999999999999E-2</v>
      </c>
      <c r="D56" s="198">
        <f t="shared" ref="D56" si="0">C56*($D$11+$D$13)</f>
        <v>31.892854999999997</v>
      </c>
    </row>
    <row r="57" spans="1:6" x14ac:dyDescent="0.2">
      <c r="A57" s="206"/>
      <c r="B57" s="113" t="s">
        <v>54</v>
      </c>
      <c r="C57" s="206"/>
      <c r="D57" s="199"/>
      <c r="E57" s="116"/>
    </row>
    <row r="58" spans="1:6" x14ac:dyDescent="0.2">
      <c r="A58" s="206">
        <v>11</v>
      </c>
      <c r="B58" s="112" t="s">
        <v>55</v>
      </c>
      <c r="C58" s="208">
        <v>6.9999999999999999E-4</v>
      </c>
      <c r="D58" s="198">
        <f t="shared" ref="D58" si="1">C58*($D$11+$D$13)</f>
        <v>1.606115</v>
      </c>
      <c r="E58" s="116"/>
    </row>
    <row r="59" spans="1:6" x14ac:dyDescent="0.2">
      <c r="A59" s="206"/>
      <c r="B59" s="113" t="s">
        <v>56</v>
      </c>
      <c r="C59" s="206"/>
      <c r="D59" s="199"/>
    </row>
    <row r="60" spans="1:6" x14ac:dyDescent="0.2">
      <c r="A60" s="206">
        <v>12</v>
      </c>
      <c r="B60" s="96" t="s">
        <v>57</v>
      </c>
      <c r="C60" s="208">
        <v>2.0000000000000001E-4</v>
      </c>
      <c r="D60" s="198">
        <f t="shared" ref="D60" si="2">C60*($D$11+$D$13)</f>
        <v>0.45888999999999996</v>
      </c>
    </row>
    <row r="61" spans="1:6" x14ac:dyDescent="0.2">
      <c r="A61" s="206"/>
      <c r="B61" s="113" t="s">
        <v>58</v>
      </c>
      <c r="C61" s="206"/>
      <c r="D61" s="199"/>
      <c r="E61" s="116"/>
    </row>
    <row r="62" spans="1:6" x14ac:dyDescent="0.2">
      <c r="A62" s="206">
        <v>13</v>
      </c>
      <c r="B62" s="112" t="s">
        <v>59</v>
      </c>
      <c r="C62" s="208">
        <v>3.0000000000000001E-3</v>
      </c>
      <c r="D62" s="198">
        <f t="shared" ref="D62" si="3">C62*($D$11+$D$13)</f>
        <v>6.8833499999999992</v>
      </c>
      <c r="E62" s="116"/>
    </row>
    <row r="63" spans="1:6" x14ac:dyDescent="0.2">
      <c r="A63" s="206"/>
      <c r="B63" s="113" t="s">
        <v>60</v>
      </c>
      <c r="C63" s="206"/>
      <c r="D63" s="199"/>
    </row>
    <row r="64" spans="1:6" x14ac:dyDescent="0.2">
      <c r="A64" s="206">
        <v>14</v>
      </c>
      <c r="B64" s="112" t="s">
        <v>61</v>
      </c>
      <c r="C64" s="208">
        <v>2.9999999999999997E-4</v>
      </c>
      <c r="D64" s="198">
        <f t="shared" ref="D64" si="4">C64*($D$11+$D$13)</f>
        <v>0.68833499999999992</v>
      </c>
    </row>
    <row r="65" spans="1:5" x14ac:dyDescent="0.2">
      <c r="A65" s="206"/>
      <c r="B65" s="113" t="s">
        <v>63</v>
      </c>
      <c r="C65" s="206"/>
      <c r="D65" s="199"/>
      <c r="E65" s="116"/>
    </row>
    <row r="66" spans="1:5" ht="22.5" x14ac:dyDescent="0.2">
      <c r="A66" s="206">
        <v>15</v>
      </c>
      <c r="B66" s="112" t="s">
        <v>64</v>
      </c>
      <c r="C66" s="208">
        <v>1.1679999999999999E-2</v>
      </c>
      <c r="D66" s="198">
        <f>C66*($D$11+$D$13)</f>
        <v>26.799175999999996</v>
      </c>
    </row>
    <row r="67" spans="1:5" ht="26.25" customHeight="1" x14ac:dyDescent="0.2">
      <c r="A67" s="206"/>
      <c r="B67" s="113" t="s">
        <v>202</v>
      </c>
      <c r="C67" s="206"/>
      <c r="D67" s="199"/>
      <c r="E67" s="117"/>
    </row>
    <row r="68" spans="1:5" x14ac:dyDescent="0.2">
      <c r="A68" s="210">
        <v>16</v>
      </c>
      <c r="B68" s="112" t="s">
        <v>65</v>
      </c>
      <c r="C68" s="208">
        <v>8.3000000000000004E-2</v>
      </c>
      <c r="D68" s="198">
        <f>C68*($D$11+$D$13)</f>
        <v>190.43934999999999</v>
      </c>
    </row>
    <row r="69" spans="1:5" ht="22.5" x14ac:dyDescent="0.2">
      <c r="A69" s="210"/>
      <c r="B69" s="96" t="s">
        <v>66</v>
      </c>
      <c r="C69" s="206"/>
      <c r="D69" s="199"/>
      <c r="E69" s="114"/>
    </row>
    <row r="70" spans="1:5" x14ac:dyDescent="0.2">
      <c r="A70" s="207" t="s">
        <v>62</v>
      </c>
      <c r="B70" s="207"/>
      <c r="C70" s="109"/>
      <c r="D70" s="102">
        <f>SUM(D54:D69)</f>
        <v>513.45202099999995</v>
      </c>
    </row>
    <row r="73" spans="1:5" x14ac:dyDescent="0.2">
      <c r="A73" s="195" t="s">
        <v>67</v>
      </c>
      <c r="B73" s="195"/>
      <c r="C73" s="94" t="s">
        <v>23</v>
      </c>
      <c r="D73" s="111" t="s">
        <v>24</v>
      </c>
    </row>
    <row r="74" spans="1:5" x14ac:dyDescent="0.2">
      <c r="A74" s="215">
        <v>17</v>
      </c>
      <c r="B74" s="118" t="s">
        <v>68</v>
      </c>
      <c r="C74" s="209">
        <v>2.5000000000000001E-2</v>
      </c>
      <c r="D74" s="198">
        <f>C74*($D$11+$D$13)</f>
        <v>57.361249999999998</v>
      </c>
    </row>
    <row r="75" spans="1:5" x14ac:dyDescent="0.2">
      <c r="A75" s="216"/>
      <c r="B75" s="119" t="s">
        <v>69</v>
      </c>
      <c r="C75" s="210"/>
      <c r="D75" s="199"/>
      <c r="E75" s="114"/>
    </row>
    <row r="76" spans="1:5" x14ac:dyDescent="0.2">
      <c r="A76" s="206">
        <v>18</v>
      </c>
      <c r="B76" s="120" t="s">
        <v>70</v>
      </c>
      <c r="C76" s="211">
        <v>5.0000000000000001E-3</v>
      </c>
      <c r="D76" s="198">
        <f>C76*($D$11+$D$13)</f>
        <v>11.472249999999999</v>
      </c>
    </row>
    <row r="77" spans="1:5" x14ac:dyDescent="0.2">
      <c r="A77" s="206"/>
      <c r="B77" s="119" t="s">
        <v>71</v>
      </c>
      <c r="C77" s="212"/>
      <c r="D77" s="199"/>
      <c r="E77" s="116"/>
    </row>
    <row r="78" spans="1:5" x14ac:dyDescent="0.2">
      <c r="A78" s="95">
        <v>19</v>
      </c>
      <c r="B78" s="121" t="s">
        <v>72</v>
      </c>
      <c r="C78" s="41"/>
      <c r="D78" s="88"/>
      <c r="E78" s="122"/>
    </row>
    <row r="79" spans="1:5" x14ac:dyDescent="0.2">
      <c r="A79" s="206" t="s">
        <v>73</v>
      </c>
      <c r="B79" s="221" t="s">
        <v>97</v>
      </c>
      <c r="C79" s="213">
        <v>3.2000000000000001E-2</v>
      </c>
      <c r="D79" s="198">
        <f>C79*($D$11+$D$13)</f>
        <v>73.422399999999996</v>
      </c>
    </row>
    <row r="80" spans="1:5" x14ac:dyDescent="0.2">
      <c r="A80" s="206"/>
      <c r="B80" s="196"/>
      <c r="C80" s="214"/>
      <c r="D80" s="199"/>
    </row>
    <row r="81" spans="1:5" x14ac:dyDescent="0.2">
      <c r="A81" s="206"/>
      <c r="B81" s="220" t="s">
        <v>96</v>
      </c>
      <c r="C81" s="213"/>
      <c r="D81" s="198">
        <f>C81*($D$11+$D$13)</f>
        <v>0</v>
      </c>
    </row>
    <row r="82" spans="1:5" x14ac:dyDescent="0.2">
      <c r="A82" s="206"/>
      <c r="B82" s="220"/>
      <c r="C82" s="214"/>
      <c r="D82" s="199"/>
      <c r="E82" s="116"/>
    </row>
    <row r="83" spans="1:5" x14ac:dyDescent="0.2">
      <c r="A83" s="207" t="s">
        <v>74</v>
      </c>
      <c r="B83" s="207"/>
      <c r="C83" s="109"/>
      <c r="D83" s="110">
        <f>SUM(D74:D82)</f>
        <v>142.2559</v>
      </c>
    </row>
    <row r="86" spans="1:5" x14ac:dyDescent="0.2">
      <c r="A86" s="204" t="s">
        <v>75</v>
      </c>
      <c r="B86" s="204"/>
      <c r="C86" s="111" t="s">
        <v>23</v>
      </c>
      <c r="D86" s="111" t="s">
        <v>24</v>
      </c>
    </row>
    <row r="87" spans="1:5" x14ac:dyDescent="0.2">
      <c r="A87" s="205">
        <v>20</v>
      </c>
      <c r="B87" s="197" t="s">
        <v>95</v>
      </c>
      <c r="C87" s="199"/>
      <c r="D87" s="199"/>
    </row>
    <row r="88" spans="1:5" x14ac:dyDescent="0.2">
      <c r="A88" s="205"/>
      <c r="B88" s="197"/>
      <c r="C88" s="199"/>
      <c r="D88" s="199"/>
    </row>
    <row r="91" spans="1:5" x14ac:dyDescent="0.2">
      <c r="A91" s="204" t="s">
        <v>76</v>
      </c>
      <c r="B91" s="204"/>
      <c r="C91" s="204"/>
      <c r="D91" s="123"/>
    </row>
    <row r="92" spans="1:5" x14ac:dyDescent="0.2">
      <c r="A92" s="205">
        <v>21</v>
      </c>
      <c r="B92" s="217" t="s">
        <v>77</v>
      </c>
      <c r="C92" s="217"/>
      <c r="D92" s="199"/>
    </row>
    <row r="93" spans="1:5" x14ac:dyDescent="0.2">
      <c r="A93" s="205"/>
      <c r="B93" s="218" t="s">
        <v>78</v>
      </c>
      <c r="C93" s="218"/>
      <c r="D93" s="199"/>
    </row>
    <row r="94" spans="1:5" x14ac:dyDescent="0.2">
      <c r="A94" s="219" t="s">
        <v>79</v>
      </c>
      <c r="B94" s="219"/>
      <c r="C94" s="111" t="s">
        <v>23</v>
      </c>
      <c r="D94" s="111" t="s">
        <v>24</v>
      </c>
    </row>
    <row r="95" spans="1:5" ht="15" customHeight="1" x14ac:dyDescent="0.2">
      <c r="A95" s="219"/>
      <c r="B95" s="219"/>
      <c r="C95" s="123"/>
      <c r="D95" s="124">
        <v>1560.55</v>
      </c>
    </row>
    <row r="98" spans="1:4" x14ac:dyDescent="0.2">
      <c r="A98" s="204" t="s">
        <v>80</v>
      </c>
      <c r="B98" s="204"/>
      <c r="C98" s="204"/>
      <c r="D98" s="204"/>
    </row>
    <row r="99" spans="1:4" x14ac:dyDescent="0.2">
      <c r="A99" s="205" t="s">
        <v>81</v>
      </c>
      <c r="B99" s="205"/>
      <c r="C99" s="205"/>
      <c r="D99" s="205"/>
    </row>
    <row r="100" spans="1:4" x14ac:dyDescent="0.2">
      <c r="A100" s="205" t="s">
        <v>82</v>
      </c>
      <c r="B100" s="205"/>
      <c r="C100" s="205"/>
      <c r="D100" s="125" t="s">
        <v>24</v>
      </c>
    </row>
    <row r="101" spans="1:4" x14ac:dyDescent="0.2">
      <c r="A101" s="227" t="s">
        <v>34</v>
      </c>
      <c r="B101" s="227"/>
      <c r="C101" s="227"/>
      <c r="D101" s="126"/>
    </row>
    <row r="102" spans="1:4" ht="15.75" customHeight="1" x14ac:dyDescent="0.2">
      <c r="A102" s="227" t="s">
        <v>83</v>
      </c>
      <c r="B102" s="227"/>
      <c r="C102" s="227"/>
      <c r="D102" s="126"/>
    </row>
    <row r="103" spans="1:4" ht="15.75" customHeight="1" x14ac:dyDescent="0.2">
      <c r="A103" s="227" t="s">
        <v>84</v>
      </c>
      <c r="B103" s="227"/>
      <c r="C103" s="227"/>
      <c r="D103" s="127">
        <f>D95+D29+D19+D36</f>
        <v>4459.9491666666663</v>
      </c>
    </row>
    <row r="105" spans="1:4" x14ac:dyDescent="0.2">
      <c r="A105" s="222" t="s">
        <v>85</v>
      </c>
      <c r="B105" s="222"/>
    </row>
    <row r="107" spans="1:4" x14ac:dyDescent="0.2">
      <c r="A107" s="223" t="s">
        <v>86</v>
      </c>
      <c r="B107" s="223"/>
      <c r="C107" s="111" t="s">
        <v>23</v>
      </c>
      <c r="D107" s="111" t="s">
        <v>24</v>
      </c>
    </row>
    <row r="108" spans="1:4" ht="22.5" customHeight="1" x14ac:dyDescent="0.2">
      <c r="A108" s="224" t="s">
        <v>87</v>
      </c>
      <c r="B108" s="224"/>
      <c r="C108" s="231">
        <v>0.05</v>
      </c>
      <c r="D108" s="238">
        <f>($D$103+$D$83+$D$70+$D$50+$D$36+$D$25+$D$24+$D$23+$D$22+$D$13+$D$11)*C108</f>
        <v>418.2293127166667</v>
      </c>
    </row>
    <row r="109" spans="1:4" x14ac:dyDescent="0.2">
      <c r="A109" s="225" t="s">
        <v>88</v>
      </c>
      <c r="B109" s="225"/>
      <c r="C109" s="232"/>
      <c r="D109" s="238"/>
    </row>
    <row r="110" spans="1:4" x14ac:dyDescent="0.2">
      <c r="A110" s="224" t="s">
        <v>89</v>
      </c>
      <c r="B110" s="224"/>
      <c r="C110" s="232"/>
      <c r="D110" s="238"/>
    </row>
    <row r="111" spans="1:4" ht="22.5" customHeight="1" x14ac:dyDescent="0.2">
      <c r="A111" s="226" t="s">
        <v>87</v>
      </c>
      <c r="B111" s="226"/>
      <c r="C111" s="233"/>
      <c r="D111" s="199"/>
    </row>
    <row r="112" spans="1:4" x14ac:dyDescent="0.2">
      <c r="A112" s="225" t="s">
        <v>88</v>
      </c>
      <c r="B112" s="225"/>
      <c r="C112" s="199"/>
      <c r="D112" s="199"/>
    </row>
    <row r="113" spans="1:4" x14ac:dyDescent="0.2">
      <c r="A113" s="224" t="s">
        <v>89</v>
      </c>
      <c r="B113" s="224"/>
      <c r="C113" s="199"/>
      <c r="D113" s="199"/>
    </row>
    <row r="114" spans="1:4" ht="24" customHeight="1" x14ac:dyDescent="0.2">
      <c r="A114" s="206" t="s">
        <v>7</v>
      </c>
      <c r="B114" s="197" t="s">
        <v>203</v>
      </c>
      <c r="C114" s="236">
        <v>0.02</v>
      </c>
      <c r="D114" s="237">
        <f>(D103)*C114</f>
        <v>89.198983333333331</v>
      </c>
    </row>
    <row r="115" spans="1:4" x14ac:dyDescent="0.2">
      <c r="A115" s="206"/>
      <c r="B115" s="197"/>
      <c r="C115" s="229"/>
      <c r="D115" s="229"/>
    </row>
    <row r="116" spans="1:4" x14ac:dyDescent="0.2">
      <c r="A116" s="225" t="s">
        <v>92</v>
      </c>
      <c r="B116" s="225"/>
      <c r="C116" s="234"/>
      <c r="D116" s="235"/>
    </row>
    <row r="117" spans="1:4" x14ac:dyDescent="0.2">
      <c r="A117" s="225" t="s">
        <v>94</v>
      </c>
      <c r="B117" s="225"/>
      <c r="C117" s="235"/>
      <c r="D117" s="235"/>
    </row>
    <row r="118" spans="1:4" x14ac:dyDescent="0.2">
      <c r="A118" s="239" t="s">
        <v>93</v>
      </c>
      <c r="B118" s="239"/>
      <c r="C118" s="235"/>
      <c r="D118" s="235"/>
    </row>
    <row r="119" spans="1:4" x14ac:dyDescent="0.2">
      <c r="A119" s="95" t="s">
        <v>9</v>
      </c>
      <c r="B119" s="96" t="s">
        <v>90</v>
      </c>
      <c r="C119" s="128">
        <v>0.1</v>
      </c>
      <c r="D119" s="129">
        <f>(D103*C119)</f>
        <v>445.99491666666665</v>
      </c>
    </row>
    <row r="120" spans="1:4" x14ac:dyDescent="0.2">
      <c r="A120" s="240" t="s">
        <v>91</v>
      </c>
      <c r="B120" s="240"/>
      <c r="C120" s="109"/>
      <c r="D120" s="130">
        <f>D119+D114</f>
        <v>535.19389999999999</v>
      </c>
    </row>
    <row r="122" spans="1:4" x14ac:dyDescent="0.2">
      <c r="A122" s="222" t="s">
        <v>98</v>
      </c>
      <c r="B122" s="222"/>
    </row>
    <row r="124" spans="1:4" ht="15" customHeight="1" x14ac:dyDescent="0.2">
      <c r="A124" s="206" t="s">
        <v>110</v>
      </c>
      <c r="B124" s="206"/>
      <c r="C124" s="206"/>
      <c r="D124" s="206"/>
    </row>
    <row r="125" spans="1:4" ht="24" customHeight="1" x14ac:dyDescent="0.2">
      <c r="A125" s="206"/>
      <c r="B125" s="206"/>
      <c r="C125" s="206"/>
      <c r="D125" s="206"/>
    </row>
    <row r="126" spans="1:4" ht="15.75" customHeight="1" x14ac:dyDescent="0.2">
      <c r="A126" s="206" t="s">
        <v>99</v>
      </c>
      <c r="B126" s="206"/>
      <c r="C126" s="94" t="s">
        <v>23</v>
      </c>
      <c r="D126" s="131" t="s">
        <v>24</v>
      </c>
    </row>
    <row r="127" spans="1:4" x14ac:dyDescent="0.2">
      <c r="A127" s="101"/>
      <c r="B127" s="132" t="s">
        <v>101</v>
      </c>
      <c r="C127" s="128">
        <v>0.03</v>
      </c>
      <c r="D127" s="133">
        <f>($D$120+$D$103)*C127</f>
        <v>149.85429199999999</v>
      </c>
    </row>
    <row r="128" spans="1:4" x14ac:dyDescent="0.2">
      <c r="A128" s="134" t="s">
        <v>7</v>
      </c>
      <c r="B128" s="135" t="s">
        <v>102</v>
      </c>
      <c r="C128" s="136">
        <v>6.4999999999999997E-3</v>
      </c>
      <c r="D128" s="133">
        <f>($D$120+$D$103)*C128</f>
        <v>32.468429933333333</v>
      </c>
    </row>
    <row r="129" spans="1:4" ht="23.25" customHeight="1" x14ac:dyDescent="0.2">
      <c r="A129" s="137" t="s">
        <v>100</v>
      </c>
      <c r="B129" s="206" t="s">
        <v>109</v>
      </c>
      <c r="C129" s="228">
        <v>1.4999999999999999E-2</v>
      </c>
      <c r="D129" s="230">
        <f>(D120+D103)*C129</f>
        <v>74.927145999999993</v>
      </c>
    </row>
    <row r="130" spans="1:4" ht="12.75" customHeight="1" x14ac:dyDescent="0.2">
      <c r="A130" s="138"/>
      <c r="B130" s="206"/>
      <c r="C130" s="229"/>
      <c r="D130" s="230"/>
    </row>
    <row r="131" spans="1:4" ht="15.75" customHeight="1" x14ac:dyDescent="0.2">
      <c r="A131" s="139" t="s">
        <v>9</v>
      </c>
      <c r="B131" s="96" t="s">
        <v>104</v>
      </c>
      <c r="C131" s="128"/>
      <c r="D131" s="41"/>
    </row>
    <row r="132" spans="1:4" ht="26.25" customHeight="1" x14ac:dyDescent="0.2">
      <c r="A132" s="137" t="s">
        <v>103</v>
      </c>
      <c r="B132" s="96" t="s">
        <v>105</v>
      </c>
      <c r="C132" s="128">
        <v>0.05</v>
      </c>
      <c r="D132" s="133">
        <f>($D$120+$D$103)*C132</f>
        <v>249.75715333333335</v>
      </c>
    </row>
    <row r="133" spans="1:4" x14ac:dyDescent="0.2">
      <c r="A133" s="94" t="s">
        <v>11</v>
      </c>
      <c r="B133" s="140" t="s">
        <v>106</v>
      </c>
      <c r="C133" s="109"/>
      <c r="D133" s="41"/>
    </row>
    <row r="134" spans="1:4" ht="15.75" customHeight="1" x14ac:dyDescent="0.2">
      <c r="A134" s="248" t="s">
        <v>107</v>
      </c>
      <c r="B134" s="249"/>
      <c r="C134" s="141">
        <f>D134/(D120+D103)</f>
        <v>0.10150000000000001</v>
      </c>
      <c r="D134" s="142">
        <f>SUM(D127:D133)</f>
        <v>507.0070212666667</v>
      </c>
    </row>
    <row r="135" spans="1:4" ht="15.75" customHeight="1" x14ac:dyDescent="0.2">
      <c r="A135" s="206" t="s">
        <v>108</v>
      </c>
      <c r="B135" s="143" t="s">
        <v>111</v>
      </c>
      <c r="C135" s="247"/>
      <c r="D135" s="247"/>
    </row>
    <row r="136" spans="1:4" x14ac:dyDescent="0.2">
      <c r="A136" s="206"/>
      <c r="B136" s="144" t="s">
        <v>112</v>
      </c>
      <c r="C136" s="247"/>
      <c r="D136" s="247"/>
    </row>
    <row r="139" spans="1:4" x14ac:dyDescent="0.2">
      <c r="A139" s="145" t="s">
        <v>227</v>
      </c>
      <c r="B139" s="146"/>
      <c r="C139" s="146"/>
      <c r="D139" s="146"/>
    </row>
    <row r="140" spans="1:4" x14ac:dyDescent="0.2">
      <c r="A140" s="145"/>
      <c r="B140" s="146"/>
      <c r="C140" s="146"/>
      <c r="D140" s="146"/>
    </row>
    <row r="141" spans="1:4" x14ac:dyDescent="0.2">
      <c r="A141" s="95" t="s">
        <v>114</v>
      </c>
      <c r="B141" s="250" t="s">
        <v>115</v>
      </c>
      <c r="C141" s="250"/>
      <c r="D141" s="147" t="s">
        <v>116</v>
      </c>
    </row>
    <row r="142" spans="1:4" x14ac:dyDescent="0.2">
      <c r="A142" s="95" t="s">
        <v>7</v>
      </c>
      <c r="B142" s="96" t="s">
        <v>117</v>
      </c>
      <c r="C142" s="41"/>
      <c r="D142" s="148">
        <f>D19+D29</f>
        <v>2804.45</v>
      </c>
    </row>
    <row r="143" spans="1:4" x14ac:dyDescent="0.2">
      <c r="A143" s="95" t="s">
        <v>9</v>
      </c>
      <c r="B143" s="96" t="s">
        <v>118</v>
      </c>
      <c r="C143" s="96" t="s">
        <v>23</v>
      </c>
      <c r="D143" s="148">
        <f>D95</f>
        <v>1560.55</v>
      </c>
    </row>
    <row r="144" spans="1:4" x14ac:dyDescent="0.2">
      <c r="A144" s="95" t="s">
        <v>11</v>
      </c>
      <c r="B144" s="96" t="s">
        <v>119</v>
      </c>
      <c r="C144" s="41"/>
      <c r="D144" s="148">
        <f>D36</f>
        <v>94.949166666666656</v>
      </c>
    </row>
    <row r="145" spans="1:4" x14ac:dyDescent="0.2">
      <c r="A145" s="95" t="s">
        <v>13</v>
      </c>
      <c r="B145" s="96" t="s">
        <v>120</v>
      </c>
      <c r="C145" s="41"/>
      <c r="D145" s="148">
        <f>SUM(D142:D144)</f>
        <v>4459.9491666666663</v>
      </c>
    </row>
    <row r="146" spans="1:4" x14ac:dyDescent="0.2">
      <c r="A146" s="41"/>
      <c r="B146" s="96" t="s">
        <v>121</v>
      </c>
      <c r="C146" s="41"/>
      <c r="D146" s="149">
        <f>D145+D134</f>
        <v>4966.9561879333332</v>
      </c>
    </row>
    <row r="147" spans="1:4" x14ac:dyDescent="0.2">
      <c r="A147" s="150"/>
      <c r="B147" s="146"/>
      <c r="C147" s="146"/>
      <c r="D147" s="146"/>
    </row>
    <row r="148" spans="1:4" ht="57.75" customHeight="1" x14ac:dyDescent="0.2">
      <c r="A148" s="251" t="s">
        <v>228</v>
      </c>
      <c r="B148" s="251"/>
      <c r="C148" s="251"/>
      <c r="D148" s="251"/>
    </row>
    <row r="149" spans="1:4" ht="46.5" customHeight="1" x14ac:dyDescent="0.2">
      <c r="A149" s="252" t="s">
        <v>229</v>
      </c>
      <c r="B149" s="252"/>
      <c r="C149" s="252"/>
      <c r="D149" s="252"/>
    </row>
    <row r="150" spans="1:4" ht="76.5" customHeight="1" x14ac:dyDescent="0.2">
      <c r="A150" s="244" t="s">
        <v>230</v>
      </c>
      <c r="B150" s="244"/>
      <c r="C150" s="244"/>
      <c r="D150" s="244"/>
    </row>
    <row r="153" spans="1:4" x14ac:dyDescent="0.2">
      <c r="A153" s="151" t="s">
        <v>125</v>
      </c>
      <c r="B153" s="146"/>
      <c r="C153" s="146"/>
    </row>
    <row r="154" spans="1:4" x14ac:dyDescent="0.2">
      <c r="A154" s="150"/>
      <c r="B154" s="146"/>
      <c r="C154" s="146"/>
    </row>
    <row r="155" spans="1:4" ht="15" customHeight="1" x14ac:dyDescent="0.2">
      <c r="A155" s="241" t="s">
        <v>126</v>
      </c>
      <c r="B155" s="242"/>
      <c r="C155" s="243"/>
      <c r="D155" s="41"/>
    </row>
    <row r="156" spans="1:4" x14ac:dyDescent="0.2">
      <c r="A156" s="41"/>
      <c r="B156" s="241" t="s">
        <v>127</v>
      </c>
      <c r="C156" s="243"/>
      <c r="D156" s="152" t="s">
        <v>128</v>
      </c>
    </row>
    <row r="157" spans="1:4" x14ac:dyDescent="0.2">
      <c r="A157" s="95" t="s">
        <v>7</v>
      </c>
      <c r="B157" s="245" t="s">
        <v>129</v>
      </c>
      <c r="C157" s="246"/>
      <c r="D157" s="148">
        <f>D142</f>
        <v>2804.45</v>
      </c>
    </row>
    <row r="158" spans="1:4" x14ac:dyDescent="0.2">
      <c r="A158" s="95" t="s">
        <v>9</v>
      </c>
      <c r="B158" s="245" t="s">
        <v>130</v>
      </c>
      <c r="C158" s="246"/>
      <c r="D158" s="148">
        <f>D144</f>
        <v>94.949166666666656</v>
      </c>
    </row>
    <row r="159" spans="1:4" x14ac:dyDescent="0.2">
      <c r="A159" s="95" t="s">
        <v>11</v>
      </c>
      <c r="B159" s="245" t="s">
        <v>131</v>
      </c>
      <c r="C159" s="246"/>
      <c r="D159" s="133">
        <f>D134</f>
        <v>507.0070212666667</v>
      </c>
    </row>
    <row r="160" spans="1:4" x14ac:dyDescent="0.2">
      <c r="A160" s="95" t="s">
        <v>13</v>
      </c>
      <c r="B160" s="245" t="s">
        <v>99</v>
      </c>
      <c r="C160" s="246"/>
      <c r="D160" s="148">
        <f>D143</f>
        <v>1560.55</v>
      </c>
    </row>
    <row r="161" spans="1:4" x14ac:dyDescent="0.2">
      <c r="A161" s="95" t="s">
        <v>15</v>
      </c>
      <c r="B161" s="245" t="s">
        <v>132</v>
      </c>
      <c r="C161" s="246"/>
      <c r="D161" s="148">
        <f>SUM(D157:D160)</f>
        <v>4966.9561879333332</v>
      </c>
    </row>
    <row r="162" spans="1:4" ht="24" customHeight="1" x14ac:dyDescent="0.2">
      <c r="A162" s="95" t="s">
        <v>17</v>
      </c>
      <c r="B162" s="245" t="s">
        <v>133</v>
      </c>
      <c r="C162" s="246"/>
      <c r="D162" s="148">
        <f>D161/96000</f>
        <v>5.1739126957638888E-2</v>
      </c>
    </row>
    <row r="163" spans="1:4" x14ac:dyDescent="0.2">
      <c r="A163" s="95" t="s">
        <v>19</v>
      </c>
      <c r="B163" s="245" t="s">
        <v>134</v>
      </c>
      <c r="C163" s="246"/>
      <c r="D163" s="153">
        <v>8490</v>
      </c>
    </row>
    <row r="164" spans="1:4" ht="24" customHeight="1" x14ac:dyDescent="0.2">
      <c r="A164" s="95" t="s">
        <v>21</v>
      </c>
      <c r="B164" s="245" t="s">
        <v>135</v>
      </c>
      <c r="C164" s="246"/>
      <c r="D164" s="154">
        <f>(D163*D162)/10915</f>
        <v>4.024417662577684E-2</v>
      </c>
    </row>
    <row r="167" spans="1:4" ht="15.75" customHeight="1" x14ac:dyDescent="0.2">
      <c r="A167" s="254" t="s">
        <v>226</v>
      </c>
      <c r="B167" s="254"/>
      <c r="C167" s="254"/>
      <c r="D167" s="254"/>
    </row>
    <row r="168" spans="1:4" ht="30" customHeight="1" x14ac:dyDescent="0.2">
      <c r="A168" s="254"/>
      <c r="B168" s="254"/>
      <c r="C168" s="254"/>
      <c r="D168" s="254"/>
    </row>
    <row r="170" spans="1:4" ht="31.5" customHeight="1" x14ac:dyDescent="0.2">
      <c r="A170" s="253"/>
      <c r="B170" s="253"/>
      <c r="C170" s="253"/>
      <c r="D170" s="253"/>
    </row>
    <row r="171" spans="1:4" ht="33.75" customHeight="1" x14ac:dyDescent="0.2">
      <c r="A171" s="253"/>
      <c r="B171" s="253"/>
      <c r="C171" s="253"/>
      <c r="D171" s="253"/>
    </row>
    <row r="172" spans="1:4" ht="33" customHeight="1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</sheetData>
  <mergeCells count="138">
    <mergeCell ref="A1:B1"/>
    <mergeCell ref="A2:C2"/>
    <mergeCell ref="B3:C3"/>
    <mergeCell ref="A4:C4"/>
    <mergeCell ref="A5:C5"/>
    <mergeCell ref="A6:C6"/>
    <mergeCell ref="B25:C25"/>
    <mergeCell ref="B26:C26"/>
    <mergeCell ref="B27:C27"/>
    <mergeCell ref="B28:C28"/>
    <mergeCell ref="A31:C31"/>
    <mergeCell ref="B32:C32"/>
    <mergeCell ref="A8:D8"/>
    <mergeCell ref="A10:B10"/>
    <mergeCell ref="A21:C21"/>
    <mergeCell ref="B22:C22"/>
    <mergeCell ref="B23:C23"/>
    <mergeCell ref="B24:C24"/>
    <mergeCell ref="B33:C33"/>
    <mergeCell ref="B34:C34"/>
    <mergeCell ref="B35:C35"/>
    <mergeCell ref="A36:C36"/>
    <mergeCell ref="A37:D37"/>
    <mergeCell ref="A40:B40"/>
    <mergeCell ref="C40:C41"/>
    <mergeCell ref="D40:D41"/>
    <mergeCell ref="A41:B41"/>
    <mergeCell ref="A58:A59"/>
    <mergeCell ref="C58:C59"/>
    <mergeCell ref="D58:D59"/>
    <mergeCell ref="A60:A61"/>
    <mergeCell ref="C60:C61"/>
    <mergeCell ref="D60:D61"/>
    <mergeCell ref="A50:B50"/>
    <mergeCell ref="A53:B53"/>
    <mergeCell ref="A54:A55"/>
    <mergeCell ref="C54:C55"/>
    <mergeCell ref="D54:D55"/>
    <mergeCell ref="A56:A57"/>
    <mergeCell ref="C56:C57"/>
    <mergeCell ref="D56:D57"/>
    <mergeCell ref="A66:A67"/>
    <mergeCell ref="C66:C67"/>
    <mergeCell ref="D66:D67"/>
    <mergeCell ref="A68:A69"/>
    <mergeCell ref="C68:C69"/>
    <mergeCell ref="D68:D69"/>
    <mergeCell ref="A62:A63"/>
    <mergeCell ref="C62:C63"/>
    <mergeCell ref="D62:D63"/>
    <mergeCell ref="A64:A65"/>
    <mergeCell ref="C64:C65"/>
    <mergeCell ref="D64:D65"/>
    <mergeCell ref="A79:A82"/>
    <mergeCell ref="B79:B80"/>
    <mergeCell ref="C79:C80"/>
    <mergeCell ref="D79:D80"/>
    <mergeCell ref="B81:B82"/>
    <mergeCell ref="C81:C82"/>
    <mergeCell ref="D81:D82"/>
    <mergeCell ref="A70:B70"/>
    <mergeCell ref="A73:B73"/>
    <mergeCell ref="A74:A75"/>
    <mergeCell ref="C74:C75"/>
    <mergeCell ref="D74:D75"/>
    <mergeCell ref="A76:A77"/>
    <mergeCell ref="C76:C77"/>
    <mergeCell ref="D76:D77"/>
    <mergeCell ref="A91:C91"/>
    <mergeCell ref="A92:A93"/>
    <mergeCell ref="B92:C92"/>
    <mergeCell ref="D92:D93"/>
    <mergeCell ref="B93:C93"/>
    <mergeCell ref="A94:B95"/>
    <mergeCell ref="A83:B83"/>
    <mergeCell ref="A86:B86"/>
    <mergeCell ref="A87:A88"/>
    <mergeCell ref="B87:B88"/>
    <mergeCell ref="C87:C88"/>
    <mergeCell ref="D87:D88"/>
    <mergeCell ref="A105:B105"/>
    <mergeCell ref="A107:B107"/>
    <mergeCell ref="A108:B108"/>
    <mergeCell ref="C108:C110"/>
    <mergeCell ref="D108:D110"/>
    <mergeCell ref="A109:B109"/>
    <mergeCell ref="A110:B110"/>
    <mergeCell ref="A98:D98"/>
    <mergeCell ref="A99:D99"/>
    <mergeCell ref="A100:C100"/>
    <mergeCell ref="A101:C101"/>
    <mergeCell ref="A102:C102"/>
    <mergeCell ref="A103:C103"/>
    <mergeCell ref="A111:B111"/>
    <mergeCell ref="C111:C113"/>
    <mergeCell ref="D111:D113"/>
    <mergeCell ref="A112:B112"/>
    <mergeCell ref="A113:B113"/>
    <mergeCell ref="A114:A115"/>
    <mergeCell ref="B114:B115"/>
    <mergeCell ref="C114:C115"/>
    <mergeCell ref="D114:D115"/>
    <mergeCell ref="A122:B122"/>
    <mergeCell ref="A124:C125"/>
    <mergeCell ref="D124:D125"/>
    <mergeCell ref="A126:B126"/>
    <mergeCell ref="B129:B130"/>
    <mergeCell ref="C129:C130"/>
    <mergeCell ref="D129:D130"/>
    <mergeCell ref="A116:B116"/>
    <mergeCell ref="C116:C118"/>
    <mergeCell ref="D116:D118"/>
    <mergeCell ref="A117:B117"/>
    <mergeCell ref="A118:B118"/>
    <mergeCell ref="A120:B120"/>
    <mergeCell ref="A149:D149"/>
    <mergeCell ref="A150:D150"/>
    <mergeCell ref="A155:C155"/>
    <mergeCell ref="B156:C156"/>
    <mergeCell ref="B157:C157"/>
    <mergeCell ref="B158:C158"/>
    <mergeCell ref="A134:B134"/>
    <mergeCell ref="A135:A136"/>
    <mergeCell ref="C135:C136"/>
    <mergeCell ref="D135:D136"/>
    <mergeCell ref="B141:C141"/>
    <mergeCell ref="A148:D148"/>
    <mergeCell ref="A167:D168"/>
    <mergeCell ref="A170:D170"/>
    <mergeCell ref="A171:D171"/>
    <mergeCell ref="A172:D172"/>
    <mergeCell ref="A173:D174"/>
    <mergeCell ref="B159:C159"/>
    <mergeCell ref="B160:C160"/>
    <mergeCell ref="B161:C161"/>
    <mergeCell ref="B162:C162"/>
    <mergeCell ref="B163:C163"/>
    <mergeCell ref="B164:C16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4"/>
  <sheetViews>
    <sheetView topLeftCell="A112" zoomScale="140" zoomScaleNormal="140" workbookViewId="0">
      <selection activeCell="A170" sqref="A170:D174"/>
    </sheetView>
  </sheetViews>
  <sheetFormatPr defaultRowHeight="11.25" x14ac:dyDescent="0.2"/>
  <cols>
    <col min="1" max="1" width="21.42578125" style="89" customWidth="1"/>
    <col min="2" max="2" width="39.28515625" style="89" customWidth="1"/>
    <col min="3" max="3" width="9.85546875" style="89" customWidth="1"/>
    <col min="4" max="4" width="14" style="90" bestFit="1" customWidth="1"/>
    <col min="5" max="5" width="9.140625" style="89"/>
    <col min="6" max="6" width="13.28515625" style="89" bestFit="1" customWidth="1"/>
    <col min="7" max="16384" width="9.140625" style="89"/>
  </cols>
  <sheetData>
    <row r="1" spans="1:4" x14ac:dyDescent="0.2">
      <c r="A1" s="193" t="s">
        <v>4</v>
      </c>
      <c r="B1" s="193"/>
    </row>
    <row r="2" spans="1:4" x14ac:dyDescent="0.2">
      <c r="A2" s="203"/>
      <c r="B2" s="203"/>
      <c r="C2" s="203"/>
    </row>
    <row r="3" spans="1:4" x14ac:dyDescent="0.2">
      <c r="A3" s="91"/>
      <c r="B3" s="201" t="s">
        <v>234</v>
      </c>
      <c r="C3" s="202"/>
      <c r="D3" s="92"/>
    </row>
    <row r="4" spans="1:4" x14ac:dyDescent="0.2">
      <c r="A4" s="196" t="s">
        <v>0</v>
      </c>
      <c r="B4" s="197"/>
      <c r="C4" s="197"/>
      <c r="D4" s="92"/>
    </row>
    <row r="5" spans="1:4" x14ac:dyDescent="0.2">
      <c r="A5" s="197" t="s">
        <v>1</v>
      </c>
      <c r="B5" s="197"/>
      <c r="C5" s="197"/>
      <c r="D5" s="92"/>
    </row>
    <row r="6" spans="1:4" x14ac:dyDescent="0.2">
      <c r="A6" s="197" t="s">
        <v>2</v>
      </c>
      <c r="B6" s="197"/>
      <c r="C6" s="197"/>
      <c r="D6" s="92"/>
    </row>
    <row r="8" spans="1:4" x14ac:dyDescent="0.2">
      <c r="A8" s="194" t="s">
        <v>5</v>
      </c>
      <c r="B8" s="194"/>
      <c r="C8" s="194"/>
      <c r="D8" s="194"/>
    </row>
    <row r="9" spans="1:4" x14ac:dyDescent="0.2">
      <c r="A9" s="93"/>
      <c r="B9" s="93"/>
      <c r="C9" s="93"/>
      <c r="D9" s="93"/>
    </row>
    <row r="10" spans="1:4" x14ac:dyDescent="0.2">
      <c r="A10" s="195" t="s">
        <v>6</v>
      </c>
      <c r="B10" s="195"/>
      <c r="C10" s="94" t="s">
        <v>23</v>
      </c>
      <c r="D10" s="94" t="s">
        <v>24</v>
      </c>
    </row>
    <row r="11" spans="1:4" x14ac:dyDescent="0.2">
      <c r="A11" s="95" t="s">
        <v>7</v>
      </c>
      <c r="B11" s="96" t="s">
        <v>8</v>
      </c>
      <c r="C11" s="87"/>
      <c r="D11" s="97"/>
    </row>
    <row r="12" spans="1:4" x14ac:dyDescent="0.2">
      <c r="A12" s="95" t="s">
        <v>9</v>
      </c>
      <c r="B12" s="96" t="s">
        <v>10</v>
      </c>
      <c r="C12" s="87"/>
      <c r="D12" s="97"/>
    </row>
    <row r="13" spans="1:4" x14ac:dyDescent="0.2">
      <c r="A13" s="95" t="s">
        <v>11</v>
      </c>
      <c r="B13" s="96" t="s">
        <v>12</v>
      </c>
      <c r="C13" s="87"/>
      <c r="D13" s="97"/>
    </row>
    <row r="14" spans="1:4" x14ac:dyDescent="0.2">
      <c r="A14" s="95" t="s">
        <v>13</v>
      </c>
      <c r="B14" s="96" t="s">
        <v>14</v>
      </c>
      <c r="C14" s="98"/>
      <c r="D14" s="97"/>
    </row>
    <row r="15" spans="1:4" x14ac:dyDescent="0.2">
      <c r="A15" s="95" t="s">
        <v>15</v>
      </c>
      <c r="B15" s="96" t="s">
        <v>16</v>
      </c>
      <c r="C15" s="87"/>
      <c r="D15" s="97"/>
    </row>
    <row r="16" spans="1:4" x14ac:dyDescent="0.2">
      <c r="A16" s="95" t="s">
        <v>17</v>
      </c>
      <c r="B16" s="96" t="s">
        <v>18</v>
      </c>
      <c r="C16" s="87"/>
      <c r="D16" s="97"/>
    </row>
    <row r="17" spans="1:5" x14ac:dyDescent="0.2">
      <c r="A17" s="95" t="s">
        <v>19</v>
      </c>
      <c r="B17" s="96" t="s">
        <v>20</v>
      </c>
      <c r="C17" s="87"/>
      <c r="D17" s="97"/>
    </row>
    <row r="18" spans="1:5" x14ac:dyDescent="0.2">
      <c r="A18" s="95" t="s">
        <v>21</v>
      </c>
      <c r="B18" s="96" t="s">
        <v>22</v>
      </c>
      <c r="C18" s="87"/>
      <c r="D18" s="97"/>
    </row>
    <row r="19" spans="1:5" x14ac:dyDescent="0.2">
      <c r="A19" s="95"/>
      <c r="B19" s="96" t="s">
        <v>211</v>
      </c>
      <c r="C19" s="87"/>
      <c r="D19" s="99">
        <f>SUM(D11:D18)</f>
        <v>0</v>
      </c>
    </row>
    <row r="21" spans="1:5" x14ac:dyDescent="0.2">
      <c r="A21" s="195" t="s">
        <v>25</v>
      </c>
      <c r="B21" s="195"/>
      <c r="C21" s="195"/>
      <c r="D21" s="94" t="s">
        <v>24</v>
      </c>
      <c r="E21" s="100"/>
    </row>
    <row r="22" spans="1:5" x14ac:dyDescent="0.2">
      <c r="A22" s="95" t="s">
        <v>7</v>
      </c>
      <c r="B22" s="197" t="s">
        <v>26</v>
      </c>
      <c r="C22" s="197"/>
      <c r="D22" s="97">
        <f>7.7*24</f>
        <v>184.8</v>
      </c>
      <c r="E22" s="101"/>
    </row>
    <row r="23" spans="1:5" x14ac:dyDescent="0.2">
      <c r="A23" s="95" t="s">
        <v>9</v>
      </c>
      <c r="B23" s="197" t="s">
        <v>27</v>
      </c>
      <c r="C23" s="197"/>
      <c r="D23" s="97">
        <f>12*20</f>
        <v>240</v>
      </c>
      <c r="E23" s="101"/>
    </row>
    <row r="24" spans="1:5" x14ac:dyDescent="0.2">
      <c r="A24" s="95" t="s">
        <v>11</v>
      </c>
      <c r="B24" s="197" t="s">
        <v>210</v>
      </c>
      <c r="C24" s="197"/>
      <c r="D24" s="97">
        <v>60.7</v>
      </c>
      <c r="E24" s="101"/>
    </row>
    <row r="25" spans="1:5" x14ac:dyDescent="0.2">
      <c r="A25" s="95" t="s">
        <v>13</v>
      </c>
      <c r="B25" s="197" t="s">
        <v>209</v>
      </c>
      <c r="C25" s="197"/>
      <c r="D25" s="97">
        <v>20.39</v>
      </c>
      <c r="E25" s="101"/>
    </row>
    <row r="26" spans="1:5" x14ac:dyDescent="0.2">
      <c r="A26" s="95" t="s">
        <v>15</v>
      </c>
      <c r="B26" s="197" t="s">
        <v>30</v>
      </c>
      <c r="C26" s="197"/>
      <c r="D26" s="97"/>
      <c r="E26" s="101"/>
    </row>
    <row r="27" spans="1:5" x14ac:dyDescent="0.2">
      <c r="A27" s="95" t="s">
        <v>17</v>
      </c>
      <c r="B27" s="197" t="s">
        <v>31</v>
      </c>
      <c r="C27" s="197"/>
      <c r="D27" s="97"/>
      <c r="E27" s="101"/>
    </row>
    <row r="28" spans="1:5" x14ac:dyDescent="0.2">
      <c r="A28" s="95" t="s">
        <v>19</v>
      </c>
      <c r="B28" s="197" t="s">
        <v>22</v>
      </c>
      <c r="C28" s="197"/>
      <c r="D28" s="97"/>
      <c r="E28" s="101"/>
    </row>
    <row r="29" spans="1:5" x14ac:dyDescent="0.2">
      <c r="A29" s="95"/>
      <c r="B29" s="96" t="s">
        <v>211</v>
      </c>
      <c r="C29" s="87"/>
      <c r="D29" s="99">
        <f>SUM(D21:D28)</f>
        <v>505.89</v>
      </c>
    </row>
    <row r="31" spans="1:5" x14ac:dyDescent="0.2">
      <c r="A31" s="195" t="s">
        <v>32</v>
      </c>
      <c r="B31" s="195"/>
      <c r="C31" s="195"/>
      <c r="D31" s="94" t="s">
        <v>24</v>
      </c>
      <c r="E31" s="101"/>
    </row>
    <row r="32" spans="1:5" x14ac:dyDescent="0.2">
      <c r="A32" s="95" t="s">
        <v>7</v>
      </c>
      <c r="B32" s="197" t="s">
        <v>33</v>
      </c>
      <c r="C32" s="197"/>
      <c r="D32" s="97">
        <f>(66.9*3)/12</f>
        <v>16.725000000000001</v>
      </c>
      <c r="E32" s="101"/>
    </row>
    <row r="33" spans="1:9" x14ac:dyDescent="0.2">
      <c r="A33" s="95" t="s">
        <v>9</v>
      </c>
      <c r="B33" s="197" t="s">
        <v>34</v>
      </c>
      <c r="C33" s="197"/>
      <c r="D33" s="97">
        <f>106.25/12</f>
        <v>8.8541666666666661</v>
      </c>
      <c r="E33" s="101"/>
    </row>
    <row r="34" spans="1:9" x14ac:dyDescent="0.2">
      <c r="A34" s="95" t="s">
        <v>11</v>
      </c>
      <c r="B34" s="197" t="s">
        <v>35</v>
      </c>
      <c r="C34" s="197"/>
      <c r="D34" s="97">
        <f>7.8+(6*7.2)+2.05+2.9+11.42</f>
        <v>67.36999999999999</v>
      </c>
      <c r="E34" s="101"/>
    </row>
    <row r="35" spans="1:9" x14ac:dyDescent="0.2">
      <c r="A35" s="95" t="s">
        <v>13</v>
      </c>
      <c r="B35" s="197" t="s">
        <v>36</v>
      </c>
      <c r="C35" s="197"/>
      <c r="D35" s="97">
        <f>2</f>
        <v>2</v>
      </c>
      <c r="E35" s="101"/>
    </row>
    <row r="36" spans="1:9" x14ac:dyDescent="0.2">
      <c r="A36" s="197" t="s">
        <v>37</v>
      </c>
      <c r="B36" s="197"/>
      <c r="C36" s="197"/>
      <c r="D36" s="102">
        <f>SUM(D32:D35)</f>
        <v>94.949166666666656</v>
      </c>
      <c r="E36" s="101"/>
    </row>
    <row r="37" spans="1:9" x14ac:dyDescent="0.2">
      <c r="A37" s="200" t="s">
        <v>38</v>
      </c>
      <c r="B37" s="200"/>
      <c r="C37" s="200"/>
      <c r="D37" s="200"/>
      <c r="E37" s="100"/>
    </row>
    <row r="38" spans="1:9" x14ac:dyDescent="0.2">
      <c r="A38" s="103"/>
      <c r="B38" s="103"/>
      <c r="C38" s="103"/>
      <c r="D38" s="104"/>
      <c r="E38" s="100"/>
    </row>
    <row r="40" spans="1:9" x14ac:dyDescent="0.2">
      <c r="A40" s="195" t="s">
        <v>39</v>
      </c>
      <c r="B40" s="195"/>
      <c r="C40" s="195" t="s">
        <v>23</v>
      </c>
      <c r="D40" s="195" t="s">
        <v>24</v>
      </c>
    </row>
    <row r="41" spans="1:9" x14ac:dyDescent="0.2">
      <c r="A41" s="195" t="s">
        <v>40</v>
      </c>
      <c r="B41" s="195"/>
      <c r="C41" s="195"/>
      <c r="D41" s="195"/>
    </row>
    <row r="42" spans="1:9" x14ac:dyDescent="0.2">
      <c r="A42" s="95">
        <v>1</v>
      </c>
      <c r="B42" s="96" t="s">
        <v>41</v>
      </c>
      <c r="C42" s="105">
        <v>0.09</v>
      </c>
      <c r="D42" s="106">
        <f>C42*($D$13+$D$11)</f>
        <v>0</v>
      </c>
    </row>
    <row r="43" spans="1:9" x14ac:dyDescent="0.2">
      <c r="A43" s="95">
        <v>2</v>
      </c>
      <c r="B43" s="96" t="s">
        <v>42</v>
      </c>
      <c r="C43" s="41"/>
      <c r="D43" s="87"/>
    </row>
    <row r="44" spans="1:9" x14ac:dyDescent="0.2">
      <c r="A44" s="95">
        <v>3</v>
      </c>
      <c r="B44" s="96" t="s">
        <v>43</v>
      </c>
      <c r="C44" s="41"/>
      <c r="D44" s="87"/>
    </row>
    <row r="45" spans="1:9" x14ac:dyDescent="0.2">
      <c r="A45" s="95">
        <v>4</v>
      </c>
      <c r="B45" s="96" t="s">
        <v>44</v>
      </c>
      <c r="C45" s="41"/>
      <c r="D45" s="87"/>
    </row>
    <row r="46" spans="1:9" x14ac:dyDescent="0.2">
      <c r="A46" s="95">
        <v>5</v>
      </c>
      <c r="B46" s="96" t="s">
        <v>45</v>
      </c>
      <c r="C46" s="41"/>
      <c r="D46" s="87"/>
    </row>
    <row r="47" spans="1:9" x14ac:dyDescent="0.2">
      <c r="A47" s="95">
        <v>6</v>
      </c>
      <c r="B47" s="96" t="s">
        <v>46</v>
      </c>
      <c r="C47" s="107">
        <v>0.08</v>
      </c>
      <c r="D47" s="106">
        <f>C47*($D$13+$D$11)</f>
        <v>0</v>
      </c>
      <c r="I47" s="108"/>
    </row>
    <row r="48" spans="1:9" x14ac:dyDescent="0.2">
      <c r="A48" s="95">
        <v>7</v>
      </c>
      <c r="B48" s="96" t="s">
        <v>47</v>
      </c>
      <c r="C48" s="41"/>
      <c r="D48" s="87"/>
    </row>
    <row r="49" spans="1:6" x14ac:dyDescent="0.2">
      <c r="A49" s="95">
        <v>8</v>
      </c>
      <c r="B49" s="96" t="s">
        <v>48</v>
      </c>
      <c r="C49" s="41"/>
      <c r="D49" s="87"/>
    </row>
    <row r="50" spans="1:6" x14ac:dyDescent="0.2">
      <c r="A50" s="207" t="s">
        <v>49</v>
      </c>
      <c r="B50" s="207"/>
      <c r="C50" s="109"/>
      <c r="D50" s="110">
        <f>SUM(D42:D49)</f>
        <v>0</v>
      </c>
    </row>
    <row r="51" spans="1:6" x14ac:dyDescent="0.2">
      <c r="A51" s="100"/>
      <c r="B51" s="100"/>
    </row>
    <row r="53" spans="1:6" x14ac:dyDescent="0.2">
      <c r="A53" s="204" t="s">
        <v>50</v>
      </c>
      <c r="B53" s="204"/>
      <c r="C53" s="94" t="s">
        <v>23</v>
      </c>
      <c r="D53" s="111" t="s">
        <v>24</v>
      </c>
    </row>
    <row r="54" spans="1:6" x14ac:dyDescent="0.2">
      <c r="A54" s="205">
        <v>9</v>
      </c>
      <c r="B54" s="112" t="s">
        <v>51</v>
      </c>
      <c r="C54" s="208">
        <v>0.111</v>
      </c>
      <c r="D54" s="198">
        <f>C54*($D$11+$D$13)</f>
        <v>0</v>
      </c>
    </row>
    <row r="55" spans="1:6" x14ac:dyDescent="0.2">
      <c r="A55" s="205"/>
      <c r="B55" s="113" t="s">
        <v>52</v>
      </c>
      <c r="C55" s="206"/>
      <c r="D55" s="199"/>
      <c r="E55" s="114"/>
      <c r="F55" s="115"/>
    </row>
    <row r="56" spans="1:6" x14ac:dyDescent="0.2">
      <c r="A56" s="206">
        <v>10</v>
      </c>
      <c r="B56" s="112" t="s">
        <v>53</v>
      </c>
      <c r="C56" s="208">
        <v>1.3899999999999999E-2</v>
      </c>
      <c r="D56" s="198">
        <f t="shared" ref="D56" si="0">C56*($D$11+$D$13)</f>
        <v>0</v>
      </c>
    </row>
    <row r="57" spans="1:6" x14ac:dyDescent="0.2">
      <c r="A57" s="206"/>
      <c r="B57" s="113" t="s">
        <v>54</v>
      </c>
      <c r="C57" s="206"/>
      <c r="D57" s="199"/>
      <c r="E57" s="116"/>
    </row>
    <row r="58" spans="1:6" x14ac:dyDescent="0.2">
      <c r="A58" s="206">
        <v>11</v>
      </c>
      <c r="B58" s="112" t="s">
        <v>55</v>
      </c>
      <c r="C58" s="208">
        <v>6.9999999999999999E-4</v>
      </c>
      <c r="D58" s="198">
        <f t="shared" ref="D58" si="1">C58*($D$11+$D$13)</f>
        <v>0</v>
      </c>
      <c r="E58" s="116"/>
    </row>
    <row r="59" spans="1:6" x14ac:dyDescent="0.2">
      <c r="A59" s="206"/>
      <c r="B59" s="113" t="s">
        <v>56</v>
      </c>
      <c r="C59" s="206"/>
      <c r="D59" s="199"/>
    </row>
    <row r="60" spans="1:6" x14ac:dyDescent="0.2">
      <c r="A60" s="206">
        <v>12</v>
      </c>
      <c r="B60" s="96" t="s">
        <v>57</v>
      </c>
      <c r="C60" s="208">
        <v>2.0000000000000001E-4</v>
      </c>
      <c r="D60" s="198">
        <f t="shared" ref="D60" si="2">C60*($D$11+$D$13)</f>
        <v>0</v>
      </c>
    </row>
    <row r="61" spans="1:6" x14ac:dyDescent="0.2">
      <c r="A61" s="206"/>
      <c r="B61" s="113" t="s">
        <v>58</v>
      </c>
      <c r="C61" s="206"/>
      <c r="D61" s="199"/>
      <c r="E61" s="116"/>
    </row>
    <row r="62" spans="1:6" x14ac:dyDescent="0.2">
      <c r="A62" s="206">
        <v>13</v>
      </c>
      <c r="B62" s="112" t="s">
        <v>59</v>
      </c>
      <c r="C62" s="208">
        <v>3.0000000000000001E-3</v>
      </c>
      <c r="D62" s="198">
        <f t="shared" ref="D62" si="3">C62*($D$11+$D$13)</f>
        <v>0</v>
      </c>
      <c r="E62" s="116"/>
    </row>
    <row r="63" spans="1:6" x14ac:dyDescent="0.2">
      <c r="A63" s="206"/>
      <c r="B63" s="113" t="s">
        <v>60</v>
      </c>
      <c r="C63" s="206"/>
      <c r="D63" s="199"/>
    </row>
    <row r="64" spans="1:6" x14ac:dyDescent="0.2">
      <c r="A64" s="206">
        <v>14</v>
      </c>
      <c r="B64" s="112" t="s">
        <v>61</v>
      </c>
      <c r="C64" s="208">
        <v>2.9999999999999997E-4</v>
      </c>
      <c r="D64" s="198">
        <f t="shared" ref="D64" si="4">C64*($D$11+$D$13)</f>
        <v>0</v>
      </c>
    </row>
    <row r="65" spans="1:5" x14ac:dyDescent="0.2">
      <c r="A65" s="206"/>
      <c r="B65" s="113" t="s">
        <v>63</v>
      </c>
      <c r="C65" s="206"/>
      <c r="D65" s="199"/>
      <c r="E65" s="116"/>
    </row>
    <row r="66" spans="1:5" ht="22.5" x14ac:dyDescent="0.2">
      <c r="A66" s="206">
        <v>15</v>
      </c>
      <c r="B66" s="112" t="s">
        <v>64</v>
      </c>
      <c r="C66" s="208">
        <v>1.1679999999999999E-2</v>
      </c>
      <c r="D66" s="198">
        <f>C66*($D$11+$D$13)</f>
        <v>0</v>
      </c>
    </row>
    <row r="67" spans="1:5" ht="26.25" customHeight="1" x14ac:dyDescent="0.2">
      <c r="A67" s="206"/>
      <c r="B67" s="113" t="s">
        <v>202</v>
      </c>
      <c r="C67" s="206"/>
      <c r="D67" s="199"/>
      <c r="E67" s="117"/>
    </row>
    <row r="68" spans="1:5" x14ac:dyDescent="0.2">
      <c r="A68" s="210">
        <v>16</v>
      </c>
      <c r="B68" s="112" t="s">
        <v>65</v>
      </c>
      <c r="C68" s="208">
        <v>8.3000000000000004E-2</v>
      </c>
      <c r="D68" s="198">
        <f>C68*($D$11+$D$13)</f>
        <v>0</v>
      </c>
    </row>
    <row r="69" spans="1:5" ht="22.5" x14ac:dyDescent="0.2">
      <c r="A69" s="210"/>
      <c r="B69" s="96" t="s">
        <v>66</v>
      </c>
      <c r="C69" s="206"/>
      <c r="D69" s="199"/>
      <c r="E69" s="114"/>
    </row>
    <row r="70" spans="1:5" x14ac:dyDescent="0.2">
      <c r="A70" s="207" t="s">
        <v>62</v>
      </c>
      <c r="B70" s="207"/>
      <c r="C70" s="109"/>
      <c r="D70" s="102">
        <f>SUM(D54:D69)</f>
        <v>0</v>
      </c>
    </row>
    <row r="73" spans="1:5" x14ac:dyDescent="0.2">
      <c r="A73" s="195" t="s">
        <v>67</v>
      </c>
      <c r="B73" s="195"/>
      <c r="C73" s="94" t="s">
        <v>23</v>
      </c>
      <c r="D73" s="111" t="s">
        <v>24</v>
      </c>
    </row>
    <row r="74" spans="1:5" x14ac:dyDescent="0.2">
      <c r="A74" s="215">
        <v>17</v>
      </c>
      <c r="B74" s="118" t="s">
        <v>68</v>
      </c>
      <c r="C74" s="209">
        <v>2.5000000000000001E-2</v>
      </c>
      <c r="D74" s="198">
        <f>C74*($D$11+$D$13)</f>
        <v>0</v>
      </c>
    </row>
    <row r="75" spans="1:5" x14ac:dyDescent="0.2">
      <c r="A75" s="216"/>
      <c r="B75" s="119" t="s">
        <v>69</v>
      </c>
      <c r="C75" s="210"/>
      <c r="D75" s="199"/>
      <c r="E75" s="114"/>
    </row>
    <row r="76" spans="1:5" x14ac:dyDescent="0.2">
      <c r="A76" s="206">
        <v>18</v>
      </c>
      <c r="B76" s="120" t="s">
        <v>70</v>
      </c>
      <c r="C76" s="211">
        <v>5.0000000000000001E-3</v>
      </c>
      <c r="D76" s="198">
        <f>C76*($D$11+$D$13)</f>
        <v>0</v>
      </c>
    </row>
    <row r="77" spans="1:5" x14ac:dyDescent="0.2">
      <c r="A77" s="206"/>
      <c r="B77" s="119" t="s">
        <v>71</v>
      </c>
      <c r="C77" s="212"/>
      <c r="D77" s="199"/>
      <c r="E77" s="116"/>
    </row>
    <row r="78" spans="1:5" x14ac:dyDescent="0.2">
      <c r="A78" s="95">
        <v>19</v>
      </c>
      <c r="B78" s="121" t="s">
        <v>72</v>
      </c>
      <c r="C78" s="41"/>
      <c r="D78" s="88"/>
      <c r="E78" s="122"/>
    </row>
    <row r="79" spans="1:5" x14ac:dyDescent="0.2">
      <c r="A79" s="206" t="s">
        <v>73</v>
      </c>
      <c r="B79" s="221" t="s">
        <v>97</v>
      </c>
      <c r="C79" s="213">
        <v>3.2000000000000001E-2</v>
      </c>
      <c r="D79" s="198">
        <f>C79*($D$11+$D$13)</f>
        <v>0</v>
      </c>
    </row>
    <row r="80" spans="1:5" x14ac:dyDescent="0.2">
      <c r="A80" s="206"/>
      <c r="B80" s="196"/>
      <c r="C80" s="214"/>
      <c r="D80" s="199"/>
    </row>
    <row r="81" spans="1:5" x14ac:dyDescent="0.2">
      <c r="A81" s="206"/>
      <c r="B81" s="246" t="s">
        <v>96</v>
      </c>
      <c r="C81" s="213">
        <v>8.0000000000000002E-3</v>
      </c>
      <c r="D81" s="198">
        <f>C81*($D$11+$D$13)</f>
        <v>0</v>
      </c>
    </row>
    <row r="82" spans="1:5" x14ac:dyDescent="0.2">
      <c r="A82" s="206"/>
      <c r="B82" s="246"/>
      <c r="C82" s="214"/>
      <c r="D82" s="199"/>
      <c r="E82" s="116"/>
    </row>
    <row r="83" spans="1:5" x14ac:dyDescent="0.2">
      <c r="A83" s="207" t="s">
        <v>74</v>
      </c>
      <c r="B83" s="207"/>
      <c r="C83" s="109"/>
      <c r="D83" s="110">
        <f>SUM(D74:D82)</f>
        <v>0</v>
      </c>
    </row>
    <row r="86" spans="1:5" x14ac:dyDescent="0.2">
      <c r="A86" s="204" t="s">
        <v>75</v>
      </c>
      <c r="B86" s="204"/>
      <c r="C86" s="111" t="s">
        <v>23</v>
      </c>
      <c r="D86" s="111" t="s">
        <v>24</v>
      </c>
    </row>
    <row r="87" spans="1:5" x14ac:dyDescent="0.2">
      <c r="A87" s="205">
        <v>20</v>
      </c>
      <c r="B87" s="197" t="s">
        <v>95</v>
      </c>
      <c r="C87" s="199"/>
      <c r="D87" s="199"/>
    </row>
    <row r="88" spans="1:5" x14ac:dyDescent="0.2">
      <c r="A88" s="205"/>
      <c r="B88" s="197"/>
      <c r="C88" s="199"/>
      <c r="D88" s="199"/>
    </row>
    <row r="91" spans="1:5" x14ac:dyDescent="0.2">
      <c r="A91" s="204" t="s">
        <v>76</v>
      </c>
      <c r="B91" s="204"/>
      <c r="C91" s="204"/>
      <c r="D91" s="123"/>
    </row>
    <row r="92" spans="1:5" x14ac:dyDescent="0.2">
      <c r="A92" s="205">
        <v>21</v>
      </c>
      <c r="B92" s="217" t="s">
        <v>77</v>
      </c>
      <c r="C92" s="217"/>
      <c r="D92" s="199"/>
    </row>
    <row r="93" spans="1:5" x14ac:dyDescent="0.2">
      <c r="A93" s="205"/>
      <c r="B93" s="218" t="s">
        <v>78</v>
      </c>
      <c r="C93" s="218"/>
      <c r="D93" s="199"/>
    </row>
    <row r="94" spans="1:5" x14ac:dyDescent="0.2">
      <c r="A94" s="219" t="s">
        <v>79</v>
      </c>
      <c r="B94" s="219"/>
      <c r="C94" s="111" t="s">
        <v>23</v>
      </c>
      <c r="D94" s="111" t="s">
        <v>24</v>
      </c>
    </row>
    <row r="95" spans="1:5" ht="15" customHeight="1" x14ac:dyDescent="0.2">
      <c r="A95" s="219"/>
      <c r="B95" s="219"/>
      <c r="C95" s="123"/>
      <c r="D95" s="124">
        <f>D83+D70+D50</f>
        <v>0</v>
      </c>
    </row>
    <row r="98" spans="1:4" x14ac:dyDescent="0.2">
      <c r="A98" s="204" t="s">
        <v>80</v>
      </c>
      <c r="B98" s="204"/>
      <c r="C98" s="204"/>
      <c r="D98" s="204"/>
    </row>
    <row r="99" spans="1:4" x14ac:dyDescent="0.2">
      <c r="A99" s="205" t="s">
        <v>81</v>
      </c>
      <c r="B99" s="205"/>
      <c r="C99" s="205"/>
      <c r="D99" s="205"/>
    </row>
    <row r="100" spans="1:4" x14ac:dyDescent="0.2">
      <c r="A100" s="205" t="s">
        <v>82</v>
      </c>
      <c r="B100" s="205"/>
      <c r="C100" s="205"/>
      <c r="D100" s="125" t="s">
        <v>24</v>
      </c>
    </row>
    <row r="101" spans="1:4" x14ac:dyDescent="0.2">
      <c r="A101" s="227" t="s">
        <v>34</v>
      </c>
      <c r="B101" s="227"/>
      <c r="C101" s="227"/>
      <c r="D101" s="126"/>
    </row>
    <row r="102" spans="1:4" ht="15.75" customHeight="1" x14ac:dyDescent="0.2">
      <c r="A102" s="227" t="s">
        <v>83</v>
      </c>
      <c r="B102" s="227"/>
      <c r="C102" s="227"/>
      <c r="D102" s="126"/>
    </row>
    <row r="103" spans="1:4" ht="15.75" customHeight="1" x14ac:dyDescent="0.2">
      <c r="A103" s="227" t="s">
        <v>84</v>
      </c>
      <c r="B103" s="227"/>
      <c r="C103" s="227"/>
      <c r="D103" s="127">
        <f>D95+D29+D19+D36</f>
        <v>600.83916666666664</v>
      </c>
    </row>
    <row r="105" spans="1:4" x14ac:dyDescent="0.2">
      <c r="A105" s="222" t="s">
        <v>85</v>
      </c>
      <c r="B105" s="222"/>
    </row>
    <row r="107" spans="1:4" x14ac:dyDescent="0.2">
      <c r="A107" s="223" t="s">
        <v>86</v>
      </c>
      <c r="B107" s="223"/>
      <c r="C107" s="111" t="s">
        <v>23</v>
      </c>
      <c r="D107" s="111" t="s">
        <v>24</v>
      </c>
    </row>
    <row r="108" spans="1:4" ht="22.5" customHeight="1" x14ac:dyDescent="0.2">
      <c r="A108" s="224" t="s">
        <v>87</v>
      </c>
      <c r="B108" s="224"/>
      <c r="C108" s="231">
        <v>0.05</v>
      </c>
      <c r="D108" s="238">
        <f>($D$103+$D$83+$D$70+$D$50+$D$36+$D$25+$D$24+$D$23+$D$22+$D$13+$D$11)*C108</f>
        <v>60.083916666666667</v>
      </c>
    </row>
    <row r="109" spans="1:4" x14ac:dyDescent="0.2">
      <c r="A109" s="225" t="s">
        <v>88</v>
      </c>
      <c r="B109" s="225"/>
      <c r="C109" s="232"/>
      <c r="D109" s="238"/>
    </row>
    <row r="110" spans="1:4" x14ac:dyDescent="0.2">
      <c r="A110" s="224" t="s">
        <v>89</v>
      </c>
      <c r="B110" s="224"/>
      <c r="C110" s="232"/>
      <c r="D110" s="238"/>
    </row>
    <row r="111" spans="1:4" ht="22.5" customHeight="1" x14ac:dyDescent="0.2">
      <c r="A111" s="226" t="s">
        <v>87</v>
      </c>
      <c r="B111" s="226"/>
      <c r="C111" s="233"/>
      <c r="D111" s="199"/>
    </row>
    <row r="112" spans="1:4" x14ac:dyDescent="0.2">
      <c r="A112" s="225" t="s">
        <v>88</v>
      </c>
      <c r="B112" s="225"/>
      <c r="C112" s="199"/>
      <c r="D112" s="199"/>
    </row>
    <row r="113" spans="1:4" x14ac:dyDescent="0.2">
      <c r="A113" s="224" t="s">
        <v>89</v>
      </c>
      <c r="B113" s="224"/>
      <c r="C113" s="199"/>
      <c r="D113" s="199"/>
    </row>
    <row r="114" spans="1:4" ht="24" customHeight="1" x14ac:dyDescent="0.2">
      <c r="A114" s="206" t="s">
        <v>7</v>
      </c>
      <c r="B114" s="197" t="s">
        <v>203</v>
      </c>
      <c r="C114" s="236">
        <v>0.02</v>
      </c>
      <c r="D114" s="237">
        <f>(D103)*C114</f>
        <v>12.016783333333333</v>
      </c>
    </row>
    <row r="115" spans="1:4" x14ac:dyDescent="0.2">
      <c r="A115" s="206"/>
      <c r="B115" s="197"/>
      <c r="C115" s="229"/>
      <c r="D115" s="229"/>
    </row>
    <row r="116" spans="1:4" x14ac:dyDescent="0.2">
      <c r="A116" s="225" t="s">
        <v>92</v>
      </c>
      <c r="B116" s="225"/>
      <c r="C116" s="234"/>
      <c r="D116" s="235"/>
    </row>
    <row r="117" spans="1:4" x14ac:dyDescent="0.2">
      <c r="A117" s="225" t="s">
        <v>94</v>
      </c>
      <c r="B117" s="225"/>
      <c r="C117" s="235"/>
      <c r="D117" s="235"/>
    </row>
    <row r="118" spans="1:4" x14ac:dyDescent="0.2">
      <c r="A118" s="239" t="s">
        <v>93</v>
      </c>
      <c r="B118" s="239"/>
      <c r="C118" s="235"/>
      <c r="D118" s="235"/>
    </row>
    <row r="119" spans="1:4" x14ac:dyDescent="0.2">
      <c r="A119" s="95" t="s">
        <v>9</v>
      </c>
      <c r="B119" s="96" t="s">
        <v>90</v>
      </c>
      <c r="C119" s="128">
        <v>0.1</v>
      </c>
      <c r="D119" s="129">
        <f>(D103*C119)</f>
        <v>60.083916666666667</v>
      </c>
    </row>
    <row r="120" spans="1:4" x14ac:dyDescent="0.2">
      <c r="A120" s="240" t="s">
        <v>91</v>
      </c>
      <c r="B120" s="240"/>
      <c r="C120" s="109"/>
      <c r="D120" s="130">
        <f>D119+D114</f>
        <v>72.100700000000003</v>
      </c>
    </row>
    <row r="122" spans="1:4" x14ac:dyDescent="0.2">
      <c r="A122" s="222" t="s">
        <v>98</v>
      </c>
      <c r="B122" s="222"/>
    </row>
    <row r="124" spans="1:4" ht="15" customHeight="1" x14ac:dyDescent="0.2">
      <c r="A124" s="206" t="s">
        <v>110</v>
      </c>
      <c r="B124" s="206"/>
      <c r="C124" s="206"/>
      <c r="D124" s="206"/>
    </row>
    <row r="125" spans="1:4" ht="24" customHeight="1" x14ac:dyDescent="0.2">
      <c r="A125" s="206"/>
      <c r="B125" s="206"/>
      <c r="C125" s="206"/>
      <c r="D125" s="206"/>
    </row>
    <row r="126" spans="1:4" ht="15.75" customHeight="1" x14ac:dyDescent="0.2">
      <c r="A126" s="206" t="s">
        <v>99</v>
      </c>
      <c r="B126" s="206"/>
      <c r="C126" s="94" t="s">
        <v>23</v>
      </c>
      <c r="D126" s="131" t="s">
        <v>24</v>
      </c>
    </row>
    <row r="127" spans="1:4" x14ac:dyDescent="0.2">
      <c r="A127" s="101"/>
      <c r="B127" s="132" t="s">
        <v>101</v>
      </c>
      <c r="C127" s="128">
        <v>0.03</v>
      </c>
      <c r="D127" s="133">
        <f>($D$120+$D$103)*C127</f>
        <v>20.188195999999998</v>
      </c>
    </row>
    <row r="128" spans="1:4" x14ac:dyDescent="0.2">
      <c r="A128" s="134" t="s">
        <v>7</v>
      </c>
      <c r="B128" s="135" t="s">
        <v>102</v>
      </c>
      <c r="C128" s="136">
        <v>6.4999999999999997E-3</v>
      </c>
      <c r="D128" s="133">
        <f>($D$120+$D$103)*C128</f>
        <v>4.3741091333333326</v>
      </c>
    </row>
    <row r="129" spans="1:4" ht="23.25" customHeight="1" x14ac:dyDescent="0.2">
      <c r="A129" s="137" t="s">
        <v>100</v>
      </c>
      <c r="B129" s="206" t="s">
        <v>109</v>
      </c>
      <c r="C129" s="228">
        <v>1.4999999999999999E-2</v>
      </c>
      <c r="D129" s="230">
        <f>(D120+D103)*C129</f>
        <v>10.094097999999999</v>
      </c>
    </row>
    <row r="130" spans="1:4" ht="12.75" customHeight="1" x14ac:dyDescent="0.2">
      <c r="A130" s="138"/>
      <c r="B130" s="206"/>
      <c r="C130" s="229"/>
      <c r="D130" s="230"/>
    </row>
    <row r="131" spans="1:4" ht="15.75" customHeight="1" x14ac:dyDescent="0.2">
      <c r="A131" s="139" t="s">
        <v>9</v>
      </c>
      <c r="B131" s="96" t="s">
        <v>104</v>
      </c>
      <c r="C131" s="128"/>
      <c r="D131" s="41"/>
    </row>
    <row r="132" spans="1:4" ht="26.25" customHeight="1" x14ac:dyDescent="0.2">
      <c r="A132" s="137" t="s">
        <v>103</v>
      </c>
      <c r="B132" s="96" t="s">
        <v>105</v>
      </c>
      <c r="C132" s="128">
        <v>0.05</v>
      </c>
      <c r="D132" s="133">
        <f>($D$120+$D$103)*C132</f>
        <v>33.646993333333334</v>
      </c>
    </row>
    <row r="133" spans="1:4" x14ac:dyDescent="0.2">
      <c r="A133" s="94" t="s">
        <v>11</v>
      </c>
      <c r="B133" s="140" t="s">
        <v>106</v>
      </c>
      <c r="C133" s="109"/>
      <c r="D133" s="41"/>
    </row>
    <row r="134" spans="1:4" ht="15.75" customHeight="1" x14ac:dyDescent="0.2">
      <c r="A134" s="248" t="s">
        <v>107</v>
      </c>
      <c r="B134" s="249"/>
      <c r="C134" s="141">
        <f>D134/(D120+D103)</f>
        <v>0.10150000000000001</v>
      </c>
      <c r="D134" s="142">
        <f>SUM(D127:D133)</f>
        <v>68.303396466666669</v>
      </c>
    </row>
    <row r="135" spans="1:4" ht="15.75" customHeight="1" x14ac:dyDescent="0.2">
      <c r="A135" s="206" t="s">
        <v>108</v>
      </c>
      <c r="B135" s="143" t="s">
        <v>111</v>
      </c>
      <c r="C135" s="247"/>
      <c r="D135" s="247"/>
    </row>
    <row r="136" spans="1:4" x14ac:dyDescent="0.2">
      <c r="A136" s="206"/>
      <c r="B136" s="144" t="s">
        <v>112</v>
      </c>
      <c r="C136" s="247"/>
      <c r="D136" s="247"/>
    </row>
    <row r="139" spans="1:4" x14ac:dyDescent="0.2">
      <c r="A139" s="145" t="s">
        <v>227</v>
      </c>
      <c r="B139" s="146"/>
      <c r="C139" s="146"/>
      <c r="D139" s="146"/>
    </row>
    <row r="140" spans="1:4" x14ac:dyDescent="0.2">
      <c r="A140" s="145"/>
      <c r="B140" s="146"/>
      <c r="C140" s="146"/>
      <c r="D140" s="146"/>
    </row>
    <row r="141" spans="1:4" x14ac:dyDescent="0.2">
      <c r="A141" s="95" t="s">
        <v>114</v>
      </c>
      <c r="B141" s="250" t="s">
        <v>115</v>
      </c>
      <c r="C141" s="250"/>
      <c r="D141" s="147" t="s">
        <v>116</v>
      </c>
    </row>
    <row r="142" spans="1:4" x14ac:dyDescent="0.2">
      <c r="A142" s="95" t="s">
        <v>7</v>
      </c>
      <c r="B142" s="96" t="s">
        <v>117</v>
      </c>
      <c r="C142" s="41"/>
      <c r="D142" s="148">
        <f>D19+D29</f>
        <v>505.89</v>
      </c>
    </row>
    <row r="143" spans="1:4" x14ac:dyDescent="0.2">
      <c r="A143" s="95" t="s">
        <v>9</v>
      </c>
      <c r="B143" s="96" t="s">
        <v>118</v>
      </c>
      <c r="C143" s="96" t="s">
        <v>23</v>
      </c>
      <c r="D143" s="148">
        <f>D95</f>
        <v>0</v>
      </c>
    </row>
    <row r="144" spans="1:4" x14ac:dyDescent="0.2">
      <c r="A144" s="95" t="s">
        <v>11</v>
      </c>
      <c r="B144" s="96" t="s">
        <v>119</v>
      </c>
      <c r="C144" s="41"/>
      <c r="D144" s="148">
        <f>D36</f>
        <v>94.949166666666656</v>
      </c>
    </row>
    <row r="145" spans="1:4" x14ac:dyDescent="0.2">
      <c r="A145" s="95" t="s">
        <v>13</v>
      </c>
      <c r="B145" s="96" t="s">
        <v>120</v>
      </c>
      <c r="C145" s="41"/>
      <c r="D145" s="148">
        <f>SUM(D142:D144)</f>
        <v>600.83916666666664</v>
      </c>
    </row>
    <row r="146" spans="1:4" x14ac:dyDescent="0.2">
      <c r="A146" s="41"/>
      <c r="B146" s="96" t="s">
        <v>121</v>
      </c>
      <c r="C146" s="41"/>
      <c r="D146" s="149">
        <f>D145+D134</f>
        <v>669.14256313333328</v>
      </c>
    </row>
    <row r="147" spans="1:4" x14ac:dyDescent="0.2">
      <c r="A147" s="150"/>
      <c r="B147" s="146"/>
      <c r="C147" s="146"/>
      <c r="D147" s="146"/>
    </row>
    <row r="148" spans="1:4" ht="57.75" customHeight="1" x14ac:dyDescent="0.2">
      <c r="A148" s="251" t="s">
        <v>228</v>
      </c>
      <c r="B148" s="251"/>
      <c r="C148" s="251"/>
      <c r="D148" s="251"/>
    </row>
    <row r="149" spans="1:4" ht="46.5" customHeight="1" x14ac:dyDescent="0.2">
      <c r="A149" s="252" t="s">
        <v>229</v>
      </c>
      <c r="B149" s="252"/>
      <c r="C149" s="252"/>
      <c r="D149" s="252"/>
    </row>
    <row r="150" spans="1:4" ht="76.5" customHeight="1" x14ac:dyDescent="0.2">
      <c r="A150" s="244" t="s">
        <v>230</v>
      </c>
      <c r="B150" s="244"/>
      <c r="C150" s="244"/>
      <c r="D150" s="244"/>
    </row>
    <row r="153" spans="1:4" x14ac:dyDescent="0.2">
      <c r="A153" s="151" t="s">
        <v>125</v>
      </c>
      <c r="B153" s="146"/>
      <c r="C153" s="146"/>
    </row>
    <row r="154" spans="1:4" x14ac:dyDescent="0.2">
      <c r="A154" s="150"/>
      <c r="B154" s="146"/>
      <c r="C154" s="146"/>
    </row>
    <row r="155" spans="1:4" ht="15" customHeight="1" x14ac:dyDescent="0.2">
      <c r="A155" s="241" t="s">
        <v>126</v>
      </c>
      <c r="B155" s="242"/>
      <c r="C155" s="243"/>
      <c r="D155" s="41"/>
    </row>
    <row r="156" spans="1:4" x14ac:dyDescent="0.2">
      <c r="A156" s="41"/>
      <c r="B156" s="241" t="s">
        <v>127</v>
      </c>
      <c r="C156" s="243"/>
      <c r="D156" s="152" t="s">
        <v>128</v>
      </c>
    </row>
    <row r="157" spans="1:4" x14ac:dyDescent="0.2">
      <c r="A157" s="95" t="s">
        <v>7</v>
      </c>
      <c r="B157" s="245" t="s">
        <v>129</v>
      </c>
      <c r="C157" s="246"/>
      <c r="D157" s="148">
        <f>D142</f>
        <v>505.89</v>
      </c>
    </row>
    <row r="158" spans="1:4" x14ac:dyDescent="0.2">
      <c r="A158" s="95" t="s">
        <v>9</v>
      </c>
      <c r="B158" s="245" t="s">
        <v>130</v>
      </c>
      <c r="C158" s="246"/>
      <c r="D158" s="148">
        <f>D144</f>
        <v>94.949166666666656</v>
      </c>
    </row>
    <row r="159" spans="1:4" x14ac:dyDescent="0.2">
      <c r="A159" s="95" t="s">
        <v>11</v>
      </c>
      <c r="B159" s="245" t="s">
        <v>131</v>
      </c>
      <c r="C159" s="246"/>
      <c r="D159" s="133">
        <f>D134</f>
        <v>68.303396466666669</v>
      </c>
    </row>
    <row r="160" spans="1:4" x14ac:dyDescent="0.2">
      <c r="A160" s="95" t="s">
        <v>13</v>
      </c>
      <c r="B160" s="245" t="s">
        <v>99</v>
      </c>
      <c r="C160" s="246"/>
      <c r="D160" s="148">
        <f>D143</f>
        <v>0</v>
      </c>
    </row>
    <row r="161" spans="1:4" x14ac:dyDescent="0.2">
      <c r="A161" s="95" t="s">
        <v>15</v>
      </c>
      <c r="B161" s="245" t="s">
        <v>132</v>
      </c>
      <c r="C161" s="246"/>
      <c r="D161" s="148">
        <f>SUM(D157:D160)</f>
        <v>669.14256313333328</v>
      </c>
    </row>
    <row r="162" spans="1:4" ht="24" customHeight="1" x14ac:dyDescent="0.2">
      <c r="A162" s="95" t="s">
        <v>17</v>
      </c>
      <c r="B162" s="245" t="s">
        <v>133</v>
      </c>
      <c r="C162" s="246"/>
      <c r="D162" s="148">
        <f>D161/96000</f>
        <v>6.9702350326388881E-3</v>
      </c>
    </row>
    <row r="163" spans="1:4" x14ac:dyDescent="0.2">
      <c r="A163" s="95" t="s">
        <v>19</v>
      </c>
      <c r="B163" s="245" t="s">
        <v>134</v>
      </c>
      <c r="C163" s="246"/>
      <c r="D163" s="153">
        <v>8490</v>
      </c>
    </row>
    <row r="164" spans="1:4" ht="24" customHeight="1" x14ac:dyDescent="0.2">
      <c r="A164" s="95" t="s">
        <v>21</v>
      </c>
      <c r="B164" s="245" t="s">
        <v>135</v>
      </c>
      <c r="C164" s="246"/>
      <c r="D164" s="154">
        <f>(D163*D162)/2340</f>
        <v>2.5289442490215454E-2</v>
      </c>
    </row>
    <row r="167" spans="1:4" ht="15.75" customHeight="1" x14ac:dyDescent="0.2">
      <c r="A167" s="254" t="s">
        <v>226</v>
      </c>
      <c r="B167" s="254"/>
      <c r="C167" s="254"/>
      <c r="D167" s="254"/>
    </row>
    <row r="168" spans="1:4" ht="30" customHeight="1" x14ac:dyDescent="0.2">
      <c r="A168" s="254"/>
      <c r="B168" s="254"/>
      <c r="C168" s="254"/>
      <c r="D168" s="254"/>
    </row>
    <row r="170" spans="1:4" ht="31.5" customHeight="1" x14ac:dyDescent="0.2">
      <c r="A170" s="253"/>
      <c r="B170" s="253"/>
      <c r="C170" s="253"/>
      <c r="D170" s="253"/>
    </row>
    <row r="171" spans="1:4" ht="33.75" customHeight="1" x14ac:dyDescent="0.2">
      <c r="A171" s="253"/>
      <c r="B171" s="253"/>
      <c r="C171" s="253"/>
      <c r="D171" s="253"/>
    </row>
    <row r="172" spans="1:4" ht="33" customHeight="1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</sheetData>
  <mergeCells count="138">
    <mergeCell ref="A1:B1"/>
    <mergeCell ref="A2:C2"/>
    <mergeCell ref="B3:C3"/>
    <mergeCell ref="A4:C4"/>
    <mergeCell ref="A5:C5"/>
    <mergeCell ref="A6:C6"/>
    <mergeCell ref="B25:C25"/>
    <mergeCell ref="B26:C26"/>
    <mergeCell ref="B27:C27"/>
    <mergeCell ref="B28:C28"/>
    <mergeCell ref="A31:C31"/>
    <mergeCell ref="B32:C32"/>
    <mergeCell ref="A8:D8"/>
    <mergeCell ref="A10:B10"/>
    <mergeCell ref="A21:C21"/>
    <mergeCell ref="B22:C22"/>
    <mergeCell ref="B23:C23"/>
    <mergeCell ref="B24:C24"/>
    <mergeCell ref="B33:C33"/>
    <mergeCell ref="B34:C34"/>
    <mergeCell ref="B35:C35"/>
    <mergeCell ref="A36:C36"/>
    <mergeCell ref="A37:D37"/>
    <mergeCell ref="A40:B40"/>
    <mergeCell ref="C40:C41"/>
    <mergeCell ref="D40:D41"/>
    <mergeCell ref="A41:B41"/>
    <mergeCell ref="A58:A59"/>
    <mergeCell ref="C58:C59"/>
    <mergeCell ref="D58:D59"/>
    <mergeCell ref="A60:A61"/>
    <mergeCell ref="C60:C61"/>
    <mergeCell ref="D60:D61"/>
    <mergeCell ref="A50:B50"/>
    <mergeCell ref="A53:B53"/>
    <mergeCell ref="A54:A55"/>
    <mergeCell ref="C54:C55"/>
    <mergeCell ref="D54:D55"/>
    <mergeCell ref="A56:A57"/>
    <mergeCell ref="C56:C57"/>
    <mergeCell ref="D56:D57"/>
    <mergeCell ref="A66:A67"/>
    <mergeCell ref="C66:C67"/>
    <mergeCell ref="D66:D67"/>
    <mergeCell ref="A68:A69"/>
    <mergeCell ref="C68:C69"/>
    <mergeCell ref="D68:D69"/>
    <mergeCell ref="A62:A63"/>
    <mergeCell ref="C62:C63"/>
    <mergeCell ref="D62:D63"/>
    <mergeCell ref="A64:A65"/>
    <mergeCell ref="C64:C65"/>
    <mergeCell ref="D64:D65"/>
    <mergeCell ref="A79:A82"/>
    <mergeCell ref="B79:B80"/>
    <mergeCell ref="C79:C80"/>
    <mergeCell ref="D79:D80"/>
    <mergeCell ref="B81:B82"/>
    <mergeCell ref="C81:C82"/>
    <mergeCell ref="D81:D82"/>
    <mergeCell ref="A70:B70"/>
    <mergeCell ref="A73:B73"/>
    <mergeCell ref="A74:A75"/>
    <mergeCell ref="C74:C75"/>
    <mergeCell ref="D74:D75"/>
    <mergeCell ref="A76:A77"/>
    <mergeCell ref="C76:C77"/>
    <mergeCell ref="D76:D77"/>
    <mergeCell ref="A91:C91"/>
    <mergeCell ref="A92:A93"/>
    <mergeCell ref="B92:C92"/>
    <mergeCell ref="D92:D93"/>
    <mergeCell ref="B93:C93"/>
    <mergeCell ref="A94:B95"/>
    <mergeCell ref="A83:B83"/>
    <mergeCell ref="A86:B86"/>
    <mergeCell ref="A87:A88"/>
    <mergeCell ref="B87:B88"/>
    <mergeCell ref="C87:C88"/>
    <mergeCell ref="D87:D88"/>
    <mergeCell ref="A105:B105"/>
    <mergeCell ref="A107:B107"/>
    <mergeCell ref="A108:B108"/>
    <mergeCell ref="C108:C110"/>
    <mergeCell ref="D108:D110"/>
    <mergeCell ref="A109:B109"/>
    <mergeCell ref="A110:B110"/>
    <mergeCell ref="A98:D98"/>
    <mergeCell ref="A99:D99"/>
    <mergeCell ref="A100:C100"/>
    <mergeCell ref="A101:C101"/>
    <mergeCell ref="A102:C102"/>
    <mergeCell ref="A103:C103"/>
    <mergeCell ref="A111:B111"/>
    <mergeCell ref="C111:C113"/>
    <mergeCell ref="D111:D113"/>
    <mergeCell ref="A112:B112"/>
    <mergeCell ref="A113:B113"/>
    <mergeCell ref="A114:A115"/>
    <mergeCell ref="B114:B115"/>
    <mergeCell ref="C114:C115"/>
    <mergeCell ref="D114:D115"/>
    <mergeCell ref="A122:B122"/>
    <mergeCell ref="A124:C125"/>
    <mergeCell ref="D124:D125"/>
    <mergeCell ref="A126:B126"/>
    <mergeCell ref="B129:B130"/>
    <mergeCell ref="C129:C130"/>
    <mergeCell ref="D129:D130"/>
    <mergeCell ref="A116:B116"/>
    <mergeCell ref="C116:C118"/>
    <mergeCell ref="D116:D118"/>
    <mergeCell ref="A117:B117"/>
    <mergeCell ref="A118:B118"/>
    <mergeCell ref="A120:B120"/>
    <mergeCell ref="A149:D149"/>
    <mergeCell ref="A150:D150"/>
    <mergeCell ref="A155:C155"/>
    <mergeCell ref="B156:C156"/>
    <mergeCell ref="B157:C157"/>
    <mergeCell ref="B158:C158"/>
    <mergeCell ref="A134:B134"/>
    <mergeCell ref="A135:A136"/>
    <mergeCell ref="C135:C136"/>
    <mergeCell ref="D135:D136"/>
    <mergeCell ref="B141:C141"/>
    <mergeCell ref="A148:D148"/>
    <mergeCell ref="A167:D168"/>
    <mergeCell ref="A170:D170"/>
    <mergeCell ref="A171:D171"/>
    <mergeCell ref="A172:D172"/>
    <mergeCell ref="A173:D174"/>
    <mergeCell ref="B159:C159"/>
    <mergeCell ref="B160:C160"/>
    <mergeCell ref="B161:C161"/>
    <mergeCell ref="B162:C162"/>
    <mergeCell ref="B163:C163"/>
    <mergeCell ref="B164:C16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4"/>
  <sheetViews>
    <sheetView topLeftCell="A70" zoomScale="140" zoomScaleNormal="140" workbookViewId="0">
      <selection activeCell="D11" sqref="D11"/>
    </sheetView>
  </sheetViews>
  <sheetFormatPr defaultRowHeight="11.25" x14ac:dyDescent="0.2"/>
  <cols>
    <col min="1" max="1" width="21.42578125" style="155" customWidth="1"/>
    <col min="2" max="2" width="39.85546875" style="155" customWidth="1"/>
    <col min="3" max="3" width="9.85546875" style="155" customWidth="1"/>
    <col min="4" max="4" width="14.85546875" style="156" bestFit="1" customWidth="1"/>
    <col min="5" max="5" width="9.140625" style="155"/>
    <col min="6" max="6" width="13.28515625" style="155" bestFit="1" customWidth="1"/>
    <col min="7" max="16384" width="9.140625" style="155"/>
  </cols>
  <sheetData>
    <row r="1" spans="1:4" x14ac:dyDescent="0.2">
      <c r="A1" s="264" t="s">
        <v>4</v>
      </c>
      <c r="B1" s="264"/>
    </row>
    <row r="2" spans="1:4" x14ac:dyDescent="0.2">
      <c r="A2" s="265"/>
      <c r="B2" s="265"/>
      <c r="C2" s="265"/>
    </row>
    <row r="3" spans="1:4" x14ac:dyDescent="0.2">
      <c r="A3" s="157"/>
      <c r="B3" s="266" t="s">
        <v>239</v>
      </c>
      <c r="C3" s="267"/>
      <c r="D3" s="158"/>
    </row>
    <row r="4" spans="1:4" x14ac:dyDescent="0.2">
      <c r="A4" s="196" t="s">
        <v>0</v>
      </c>
      <c r="B4" s="197"/>
      <c r="C4" s="197"/>
      <c r="D4" s="158"/>
    </row>
    <row r="5" spans="1:4" x14ac:dyDescent="0.2">
      <c r="A5" s="197" t="s">
        <v>1</v>
      </c>
      <c r="B5" s="197"/>
      <c r="C5" s="197"/>
      <c r="D5" s="158"/>
    </row>
    <row r="6" spans="1:4" x14ac:dyDescent="0.2">
      <c r="A6" s="197" t="s">
        <v>2</v>
      </c>
      <c r="B6" s="197"/>
      <c r="C6" s="197"/>
      <c r="D6" s="158"/>
    </row>
    <row r="8" spans="1:4" x14ac:dyDescent="0.2">
      <c r="A8" s="194" t="s">
        <v>5</v>
      </c>
      <c r="B8" s="194"/>
      <c r="C8" s="194"/>
      <c r="D8" s="194"/>
    </row>
    <row r="9" spans="1:4" x14ac:dyDescent="0.2">
      <c r="A9" s="93"/>
      <c r="B9" s="93"/>
      <c r="C9" s="93"/>
      <c r="D9" s="93"/>
    </row>
    <row r="10" spans="1:4" x14ac:dyDescent="0.2">
      <c r="A10" s="195" t="s">
        <v>6</v>
      </c>
      <c r="B10" s="195"/>
      <c r="C10" s="94" t="s">
        <v>23</v>
      </c>
      <c r="D10" s="94" t="s">
        <v>24</v>
      </c>
    </row>
    <row r="11" spans="1:4" x14ac:dyDescent="0.2">
      <c r="A11" s="95" t="s">
        <v>7</v>
      </c>
      <c r="B11" s="96" t="s">
        <v>8</v>
      </c>
      <c r="C11" s="87"/>
      <c r="D11" s="178">
        <v>4500</v>
      </c>
    </row>
    <row r="12" spans="1:4" x14ac:dyDescent="0.2">
      <c r="A12" s="95" t="s">
        <v>9</v>
      </c>
      <c r="B12" s="96" t="s">
        <v>10</v>
      </c>
      <c r="C12" s="87"/>
      <c r="D12" s="97"/>
    </row>
    <row r="13" spans="1:4" x14ac:dyDescent="0.2">
      <c r="A13" s="95" t="s">
        <v>11</v>
      </c>
      <c r="B13" s="96" t="s">
        <v>12</v>
      </c>
      <c r="C13" s="87"/>
      <c r="D13" s="178">
        <v>0</v>
      </c>
    </row>
    <row r="14" spans="1:4" x14ac:dyDescent="0.2">
      <c r="A14" s="95" t="s">
        <v>13</v>
      </c>
      <c r="B14" s="96" t="s">
        <v>14</v>
      </c>
      <c r="C14" s="98"/>
      <c r="D14" s="97"/>
    </row>
    <row r="15" spans="1:4" x14ac:dyDescent="0.2">
      <c r="A15" s="95" t="s">
        <v>15</v>
      </c>
      <c r="B15" s="96" t="s">
        <v>16</v>
      </c>
      <c r="C15" s="87"/>
      <c r="D15" s="97"/>
    </row>
    <row r="16" spans="1:4" x14ac:dyDescent="0.2">
      <c r="A16" s="95" t="s">
        <v>17</v>
      </c>
      <c r="B16" s="96" t="s">
        <v>18</v>
      </c>
      <c r="C16" s="87"/>
      <c r="D16" s="97"/>
    </row>
    <row r="17" spans="1:5" x14ac:dyDescent="0.2">
      <c r="A17" s="95" t="s">
        <v>19</v>
      </c>
      <c r="B17" s="96" t="s">
        <v>20</v>
      </c>
      <c r="C17" s="87"/>
      <c r="D17" s="97"/>
    </row>
    <row r="18" spans="1:5" x14ac:dyDescent="0.2">
      <c r="A18" s="95" t="s">
        <v>21</v>
      </c>
      <c r="B18" s="96" t="s">
        <v>22</v>
      </c>
      <c r="C18" s="87"/>
      <c r="D18" s="97"/>
    </row>
    <row r="19" spans="1:5" x14ac:dyDescent="0.2">
      <c r="A19" s="95"/>
      <c r="B19" s="96" t="s">
        <v>211</v>
      </c>
      <c r="C19" s="87"/>
      <c r="D19" s="99">
        <f>SUM(D11:D18)</f>
        <v>4500</v>
      </c>
    </row>
    <row r="21" spans="1:5" x14ac:dyDescent="0.2">
      <c r="A21" s="195" t="s">
        <v>25</v>
      </c>
      <c r="B21" s="195"/>
      <c r="C21" s="195"/>
      <c r="D21" s="94" t="s">
        <v>24</v>
      </c>
      <c r="E21" s="100"/>
    </row>
    <row r="22" spans="1:5" x14ac:dyDescent="0.2">
      <c r="A22" s="95" t="s">
        <v>7</v>
      </c>
      <c r="B22" s="197" t="s">
        <v>26</v>
      </c>
      <c r="C22" s="197"/>
      <c r="D22" s="178">
        <v>0</v>
      </c>
      <c r="E22" s="101"/>
    </row>
    <row r="23" spans="1:5" x14ac:dyDescent="0.2">
      <c r="A23" s="95" t="s">
        <v>9</v>
      </c>
      <c r="B23" s="197" t="s">
        <v>27</v>
      </c>
      <c r="C23" s="197"/>
      <c r="D23" s="178">
        <v>0</v>
      </c>
      <c r="E23" s="101"/>
    </row>
    <row r="24" spans="1:5" x14ac:dyDescent="0.2">
      <c r="A24" s="95" t="s">
        <v>11</v>
      </c>
      <c r="B24" s="197" t="s">
        <v>210</v>
      </c>
      <c r="C24" s="197"/>
      <c r="D24" s="178">
        <v>0</v>
      </c>
      <c r="E24" s="101"/>
    </row>
    <row r="25" spans="1:5" x14ac:dyDescent="0.2">
      <c r="A25" s="95" t="s">
        <v>13</v>
      </c>
      <c r="B25" s="197" t="s">
        <v>209</v>
      </c>
      <c r="C25" s="197"/>
      <c r="D25" s="178">
        <v>0</v>
      </c>
      <c r="E25" s="101"/>
    </row>
    <row r="26" spans="1:5" x14ac:dyDescent="0.2">
      <c r="A26" s="95" t="s">
        <v>15</v>
      </c>
      <c r="B26" s="197" t="s">
        <v>30</v>
      </c>
      <c r="C26" s="197"/>
      <c r="D26" s="97"/>
      <c r="E26" s="101"/>
    </row>
    <row r="27" spans="1:5" x14ac:dyDescent="0.2">
      <c r="A27" s="95" t="s">
        <v>17</v>
      </c>
      <c r="B27" s="197" t="s">
        <v>31</v>
      </c>
      <c r="C27" s="197"/>
      <c r="D27" s="97"/>
      <c r="E27" s="101"/>
    </row>
    <row r="28" spans="1:5" x14ac:dyDescent="0.2">
      <c r="A28" s="95" t="s">
        <v>19</v>
      </c>
      <c r="B28" s="197" t="s">
        <v>22</v>
      </c>
      <c r="C28" s="197"/>
      <c r="D28" s="97"/>
      <c r="E28" s="101"/>
    </row>
    <row r="29" spans="1:5" x14ac:dyDescent="0.2">
      <c r="A29" s="95"/>
      <c r="B29" s="96" t="s">
        <v>211</v>
      </c>
      <c r="C29" s="87"/>
      <c r="D29" s="99">
        <f>SUM(D21:D28)</f>
        <v>0</v>
      </c>
    </row>
    <row r="31" spans="1:5" x14ac:dyDescent="0.2">
      <c r="A31" s="195" t="s">
        <v>32</v>
      </c>
      <c r="B31" s="195"/>
      <c r="C31" s="195"/>
      <c r="D31" s="94" t="s">
        <v>24</v>
      </c>
      <c r="E31" s="101"/>
    </row>
    <row r="32" spans="1:5" x14ac:dyDescent="0.2">
      <c r="A32" s="95" t="s">
        <v>7</v>
      </c>
      <c r="B32" s="197" t="s">
        <v>33</v>
      </c>
      <c r="C32" s="197"/>
      <c r="D32" s="97">
        <f>(66.9*3)/12</f>
        <v>16.725000000000001</v>
      </c>
      <c r="E32" s="101"/>
    </row>
    <row r="33" spans="1:9" x14ac:dyDescent="0.2">
      <c r="A33" s="95" t="s">
        <v>9</v>
      </c>
      <c r="B33" s="197" t="s">
        <v>34</v>
      </c>
      <c r="C33" s="197"/>
      <c r="D33" s="97">
        <f>106.25/12</f>
        <v>8.8541666666666661</v>
      </c>
      <c r="E33" s="101"/>
    </row>
    <row r="34" spans="1:9" x14ac:dyDescent="0.2">
      <c r="A34" s="95" t="s">
        <v>11</v>
      </c>
      <c r="B34" s="197" t="s">
        <v>35</v>
      </c>
      <c r="C34" s="197"/>
      <c r="D34" s="97">
        <f>7.8+(6*7.2)+2.05+2.9+11.42</f>
        <v>67.36999999999999</v>
      </c>
      <c r="E34" s="101"/>
    </row>
    <row r="35" spans="1:9" x14ac:dyDescent="0.2">
      <c r="A35" s="95" t="s">
        <v>13</v>
      </c>
      <c r="B35" s="197" t="s">
        <v>36</v>
      </c>
      <c r="C35" s="197"/>
      <c r="D35" s="97">
        <f>2</f>
        <v>2</v>
      </c>
      <c r="E35" s="101"/>
    </row>
    <row r="36" spans="1:9" x14ac:dyDescent="0.2">
      <c r="A36" s="197" t="s">
        <v>37</v>
      </c>
      <c r="B36" s="197"/>
      <c r="C36" s="197"/>
      <c r="D36" s="102">
        <f>SUM(D32:D35)</f>
        <v>94.949166666666656</v>
      </c>
      <c r="E36" s="101"/>
    </row>
    <row r="37" spans="1:9" x14ac:dyDescent="0.2">
      <c r="A37" s="200" t="s">
        <v>38</v>
      </c>
      <c r="B37" s="200"/>
      <c r="C37" s="200"/>
      <c r="D37" s="200"/>
      <c r="E37" s="100"/>
    </row>
    <row r="38" spans="1:9" x14ac:dyDescent="0.2">
      <c r="A38" s="103"/>
      <c r="B38" s="103"/>
      <c r="C38" s="103"/>
      <c r="D38" s="104"/>
      <c r="E38" s="100"/>
    </row>
    <row r="40" spans="1:9" x14ac:dyDescent="0.2">
      <c r="A40" s="195" t="s">
        <v>39</v>
      </c>
      <c r="B40" s="195"/>
      <c r="C40" s="195" t="s">
        <v>23</v>
      </c>
      <c r="D40" s="195" t="s">
        <v>24</v>
      </c>
    </row>
    <row r="41" spans="1:9" x14ac:dyDescent="0.2">
      <c r="A41" s="195" t="s">
        <v>40</v>
      </c>
      <c r="B41" s="195"/>
      <c r="C41" s="195"/>
      <c r="D41" s="195"/>
    </row>
    <row r="42" spans="1:9" x14ac:dyDescent="0.2">
      <c r="A42" s="95">
        <v>1</v>
      </c>
      <c r="B42" s="96" t="s">
        <v>41</v>
      </c>
      <c r="C42" s="105">
        <v>0.09</v>
      </c>
      <c r="D42" s="179">
        <v>0</v>
      </c>
    </row>
    <row r="43" spans="1:9" x14ac:dyDescent="0.2">
      <c r="A43" s="95">
        <v>2</v>
      </c>
      <c r="B43" s="96" t="s">
        <v>42</v>
      </c>
      <c r="C43" s="41"/>
      <c r="D43" s="87"/>
    </row>
    <row r="44" spans="1:9" x14ac:dyDescent="0.2">
      <c r="A44" s="95">
        <v>3</v>
      </c>
      <c r="B44" s="96" t="s">
        <v>43</v>
      </c>
      <c r="C44" s="41"/>
      <c r="D44" s="87"/>
    </row>
    <row r="45" spans="1:9" x14ac:dyDescent="0.2">
      <c r="A45" s="95">
        <v>4</v>
      </c>
      <c r="B45" s="96" t="s">
        <v>44</v>
      </c>
      <c r="C45" s="41"/>
      <c r="D45" s="87"/>
    </row>
    <row r="46" spans="1:9" x14ac:dyDescent="0.2">
      <c r="A46" s="95">
        <v>5</v>
      </c>
      <c r="B46" s="96" t="s">
        <v>45</v>
      </c>
      <c r="C46" s="41"/>
      <c r="D46" s="87"/>
    </row>
    <row r="47" spans="1:9" x14ac:dyDescent="0.2">
      <c r="A47" s="95">
        <v>6</v>
      </c>
      <c r="B47" s="96" t="s">
        <v>46</v>
      </c>
      <c r="C47" s="107">
        <v>0.08</v>
      </c>
      <c r="D47" s="179">
        <v>0</v>
      </c>
      <c r="I47" s="159"/>
    </row>
    <row r="48" spans="1:9" x14ac:dyDescent="0.2">
      <c r="A48" s="95">
        <v>7</v>
      </c>
      <c r="B48" s="96" t="s">
        <v>47</v>
      </c>
      <c r="C48" s="41"/>
      <c r="D48" s="87"/>
    </row>
    <row r="49" spans="1:6" x14ac:dyDescent="0.2">
      <c r="A49" s="95">
        <v>8</v>
      </c>
      <c r="B49" s="96" t="s">
        <v>48</v>
      </c>
      <c r="C49" s="41"/>
      <c r="D49" s="87"/>
    </row>
    <row r="50" spans="1:6" x14ac:dyDescent="0.2">
      <c r="A50" s="207" t="s">
        <v>49</v>
      </c>
      <c r="B50" s="207"/>
      <c r="C50" s="160"/>
      <c r="D50" s="161">
        <f>SUM(D42:D49)</f>
        <v>0</v>
      </c>
    </row>
    <row r="51" spans="1:6" x14ac:dyDescent="0.2">
      <c r="A51" s="100"/>
      <c r="B51" s="100"/>
    </row>
    <row r="53" spans="1:6" x14ac:dyDescent="0.2">
      <c r="A53" s="204" t="s">
        <v>50</v>
      </c>
      <c r="B53" s="204"/>
      <c r="C53" s="94" t="s">
        <v>23</v>
      </c>
      <c r="D53" s="111" t="s">
        <v>24</v>
      </c>
    </row>
    <row r="54" spans="1:6" x14ac:dyDescent="0.2">
      <c r="A54" s="205">
        <v>9</v>
      </c>
      <c r="B54" s="112" t="s">
        <v>51</v>
      </c>
      <c r="C54" s="208">
        <v>0.111</v>
      </c>
      <c r="D54" s="198">
        <f>C54*($D$11+$D$13)</f>
        <v>499.5</v>
      </c>
    </row>
    <row r="55" spans="1:6" x14ac:dyDescent="0.2">
      <c r="A55" s="205"/>
      <c r="B55" s="113" t="s">
        <v>52</v>
      </c>
      <c r="C55" s="206"/>
      <c r="D55" s="199"/>
      <c r="E55" s="162"/>
      <c r="F55" s="163"/>
    </row>
    <row r="56" spans="1:6" x14ac:dyDescent="0.2">
      <c r="A56" s="206">
        <v>10</v>
      </c>
      <c r="B56" s="112" t="s">
        <v>53</v>
      </c>
      <c r="C56" s="208">
        <v>1.3899999999999999E-2</v>
      </c>
      <c r="D56" s="198">
        <f t="shared" ref="D56" si="0">C56*($D$11+$D$13)</f>
        <v>62.55</v>
      </c>
    </row>
    <row r="57" spans="1:6" x14ac:dyDescent="0.2">
      <c r="A57" s="206"/>
      <c r="B57" s="113" t="s">
        <v>54</v>
      </c>
      <c r="C57" s="206"/>
      <c r="D57" s="199"/>
      <c r="E57" s="164"/>
    </row>
    <row r="58" spans="1:6" x14ac:dyDescent="0.2">
      <c r="A58" s="206">
        <v>11</v>
      </c>
      <c r="B58" s="112" t="s">
        <v>55</v>
      </c>
      <c r="C58" s="208">
        <v>6.9999999999999999E-4</v>
      </c>
      <c r="D58" s="198">
        <f t="shared" ref="D58" si="1">C58*($D$11+$D$13)</f>
        <v>3.15</v>
      </c>
      <c r="E58" s="164"/>
    </row>
    <row r="59" spans="1:6" x14ac:dyDescent="0.2">
      <c r="A59" s="206"/>
      <c r="B59" s="113" t="s">
        <v>56</v>
      </c>
      <c r="C59" s="206"/>
      <c r="D59" s="199"/>
    </row>
    <row r="60" spans="1:6" x14ac:dyDescent="0.2">
      <c r="A60" s="206">
        <v>12</v>
      </c>
      <c r="B60" s="96" t="s">
        <v>57</v>
      </c>
      <c r="C60" s="208">
        <v>2.0000000000000001E-4</v>
      </c>
      <c r="D60" s="198">
        <f t="shared" ref="D60" si="2">C60*($D$11+$D$13)</f>
        <v>0.9</v>
      </c>
    </row>
    <row r="61" spans="1:6" x14ac:dyDescent="0.2">
      <c r="A61" s="206"/>
      <c r="B61" s="113" t="s">
        <v>58</v>
      </c>
      <c r="C61" s="206"/>
      <c r="D61" s="199"/>
      <c r="E61" s="164"/>
    </row>
    <row r="62" spans="1:6" x14ac:dyDescent="0.2">
      <c r="A62" s="206">
        <v>13</v>
      </c>
      <c r="B62" s="112" t="s">
        <v>59</v>
      </c>
      <c r="C62" s="208">
        <v>3.0000000000000001E-3</v>
      </c>
      <c r="D62" s="198">
        <f t="shared" ref="D62" si="3">C62*($D$11+$D$13)</f>
        <v>13.5</v>
      </c>
      <c r="E62" s="164"/>
    </row>
    <row r="63" spans="1:6" x14ac:dyDescent="0.2">
      <c r="A63" s="206"/>
      <c r="B63" s="113" t="s">
        <v>60</v>
      </c>
      <c r="C63" s="206"/>
      <c r="D63" s="199"/>
    </row>
    <row r="64" spans="1:6" x14ac:dyDescent="0.2">
      <c r="A64" s="206">
        <v>14</v>
      </c>
      <c r="B64" s="112" t="s">
        <v>61</v>
      </c>
      <c r="C64" s="208">
        <v>2.9999999999999997E-4</v>
      </c>
      <c r="D64" s="198">
        <f t="shared" ref="D64" si="4">C64*($D$11+$D$13)</f>
        <v>1.3499999999999999</v>
      </c>
    </row>
    <row r="65" spans="1:5" x14ac:dyDescent="0.2">
      <c r="A65" s="206"/>
      <c r="B65" s="113" t="s">
        <v>63</v>
      </c>
      <c r="C65" s="206"/>
      <c r="D65" s="199"/>
      <c r="E65" s="164"/>
    </row>
    <row r="66" spans="1:5" ht="22.5" x14ac:dyDescent="0.2">
      <c r="A66" s="206">
        <v>15</v>
      </c>
      <c r="B66" s="112" t="s">
        <v>64</v>
      </c>
      <c r="C66" s="208">
        <v>1.1679999999999999E-2</v>
      </c>
      <c r="D66" s="198">
        <f>C66*($D$11+$D$13)</f>
        <v>52.559999999999995</v>
      </c>
    </row>
    <row r="67" spans="1:5" ht="26.25" customHeight="1" x14ac:dyDescent="0.2">
      <c r="A67" s="206"/>
      <c r="B67" s="113" t="s">
        <v>202</v>
      </c>
      <c r="C67" s="206"/>
      <c r="D67" s="199"/>
      <c r="E67" s="165"/>
    </row>
    <row r="68" spans="1:5" x14ac:dyDescent="0.2">
      <c r="A68" s="210">
        <v>16</v>
      </c>
      <c r="B68" s="112" t="s">
        <v>65</v>
      </c>
      <c r="C68" s="208">
        <v>8.3000000000000004E-2</v>
      </c>
      <c r="D68" s="198">
        <f>C68*($D$11+$D$13)</f>
        <v>373.5</v>
      </c>
    </row>
    <row r="69" spans="1:5" ht="22.5" x14ac:dyDescent="0.2">
      <c r="A69" s="210"/>
      <c r="B69" s="96" t="s">
        <v>66</v>
      </c>
      <c r="C69" s="206"/>
      <c r="D69" s="199"/>
      <c r="E69" s="162"/>
    </row>
    <row r="70" spans="1:5" x14ac:dyDescent="0.2">
      <c r="A70" s="207" t="s">
        <v>62</v>
      </c>
      <c r="B70" s="207"/>
      <c r="C70" s="160"/>
      <c r="D70" s="102">
        <f>SUM(D54:D69)</f>
        <v>1007.0099999999999</v>
      </c>
    </row>
    <row r="73" spans="1:5" x14ac:dyDescent="0.2">
      <c r="A73" s="195" t="s">
        <v>67</v>
      </c>
      <c r="B73" s="195"/>
      <c r="C73" s="94" t="s">
        <v>23</v>
      </c>
      <c r="D73" s="111" t="s">
        <v>24</v>
      </c>
    </row>
    <row r="74" spans="1:5" x14ac:dyDescent="0.2">
      <c r="A74" s="215">
        <v>17</v>
      </c>
      <c r="B74" s="118" t="s">
        <v>68</v>
      </c>
      <c r="C74" s="209">
        <v>2.5000000000000001E-2</v>
      </c>
      <c r="D74" s="198">
        <f>C74*($D$11+$D$13)</f>
        <v>112.5</v>
      </c>
    </row>
    <row r="75" spans="1:5" x14ac:dyDescent="0.2">
      <c r="A75" s="216"/>
      <c r="B75" s="119" t="s">
        <v>69</v>
      </c>
      <c r="C75" s="210"/>
      <c r="D75" s="199"/>
      <c r="E75" s="162"/>
    </row>
    <row r="76" spans="1:5" x14ac:dyDescent="0.2">
      <c r="A76" s="206">
        <v>18</v>
      </c>
      <c r="B76" s="120" t="s">
        <v>70</v>
      </c>
      <c r="C76" s="211">
        <v>5.0000000000000001E-3</v>
      </c>
      <c r="D76" s="198">
        <f>C76*($D$11+$D$13)</f>
        <v>22.5</v>
      </c>
    </row>
    <row r="77" spans="1:5" x14ac:dyDescent="0.2">
      <c r="A77" s="206"/>
      <c r="B77" s="119" t="s">
        <v>71</v>
      </c>
      <c r="C77" s="212"/>
      <c r="D77" s="199"/>
      <c r="E77" s="164"/>
    </row>
    <row r="78" spans="1:5" x14ac:dyDescent="0.2">
      <c r="A78" s="95">
        <v>19</v>
      </c>
      <c r="B78" s="121" t="s">
        <v>72</v>
      </c>
      <c r="C78" s="41"/>
      <c r="D78" s="88"/>
      <c r="E78" s="166"/>
    </row>
    <row r="79" spans="1:5" x14ac:dyDescent="0.2">
      <c r="A79" s="206" t="s">
        <v>73</v>
      </c>
      <c r="B79" s="221" t="s">
        <v>97</v>
      </c>
      <c r="C79" s="213">
        <v>3.2000000000000001E-2</v>
      </c>
      <c r="D79" s="198">
        <f>C79*($D$11+$D$13)</f>
        <v>144</v>
      </c>
    </row>
    <row r="80" spans="1:5" x14ac:dyDescent="0.2">
      <c r="A80" s="206"/>
      <c r="B80" s="196"/>
      <c r="C80" s="214"/>
      <c r="D80" s="199"/>
    </row>
    <row r="81" spans="1:5" x14ac:dyDescent="0.2">
      <c r="A81" s="206"/>
      <c r="B81" s="220" t="s">
        <v>96</v>
      </c>
      <c r="C81" s="213"/>
      <c r="D81" s="198">
        <f>C81*($D$11+$D$13)</f>
        <v>0</v>
      </c>
    </row>
    <row r="82" spans="1:5" x14ac:dyDescent="0.2">
      <c r="A82" s="206"/>
      <c r="B82" s="220"/>
      <c r="C82" s="214"/>
      <c r="D82" s="199"/>
      <c r="E82" s="164"/>
    </row>
    <row r="83" spans="1:5" x14ac:dyDescent="0.2">
      <c r="A83" s="207" t="s">
        <v>74</v>
      </c>
      <c r="B83" s="207"/>
      <c r="C83" s="160"/>
      <c r="D83" s="161">
        <f>SUM(D74:D82)</f>
        <v>279</v>
      </c>
    </row>
    <row r="86" spans="1:5" x14ac:dyDescent="0.2">
      <c r="A86" s="204" t="s">
        <v>75</v>
      </c>
      <c r="B86" s="204"/>
      <c r="C86" s="111" t="s">
        <v>23</v>
      </c>
      <c r="D86" s="111" t="s">
        <v>24</v>
      </c>
    </row>
    <row r="87" spans="1:5" x14ac:dyDescent="0.2">
      <c r="A87" s="205">
        <v>20</v>
      </c>
      <c r="B87" s="197" t="s">
        <v>95</v>
      </c>
      <c r="C87" s="199"/>
      <c r="D87" s="199"/>
    </row>
    <row r="88" spans="1:5" x14ac:dyDescent="0.2">
      <c r="A88" s="205"/>
      <c r="B88" s="197"/>
      <c r="C88" s="199"/>
      <c r="D88" s="199"/>
    </row>
    <row r="91" spans="1:5" x14ac:dyDescent="0.2">
      <c r="A91" s="204" t="s">
        <v>76</v>
      </c>
      <c r="B91" s="204"/>
      <c r="C91" s="204"/>
      <c r="D91" s="123"/>
    </row>
    <row r="92" spans="1:5" x14ac:dyDescent="0.2">
      <c r="A92" s="205">
        <v>21</v>
      </c>
      <c r="B92" s="217" t="s">
        <v>77</v>
      </c>
      <c r="C92" s="217"/>
      <c r="D92" s="199"/>
    </row>
    <row r="93" spans="1:5" x14ac:dyDescent="0.2">
      <c r="A93" s="205"/>
      <c r="B93" s="218" t="s">
        <v>78</v>
      </c>
      <c r="C93" s="218"/>
      <c r="D93" s="199"/>
    </row>
    <row r="94" spans="1:5" x14ac:dyDescent="0.2">
      <c r="A94" s="219" t="s">
        <v>79</v>
      </c>
      <c r="B94" s="219"/>
      <c r="C94" s="111" t="s">
        <v>23</v>
      </c>
      <c r="D94" s="111" t="s">
        <v>24</v>
      </c>
    </row>
    <row r="95" spans="1:5" ht="15" customHeight="1" x14ac:dyDescent="0.2">
      <c r="A95" s="219"/>
      <c r="B95" s="219"/>
      <c r="C95" s="123"/>
      <c r="D95" s="124">
        <f>D83+D70+D50</f>
        <v>1286.0099999999998</v>
      </c>
    </row>
    <row r="98" spans="1:4" x14ac:dyDescent="0.2">
      <c r="A98" s="204" t="s">
        <v>80</v>
      </c>
      <c r="B98" s="204"/>
      <c r="C98" s="204"/>
      <c r="D98" s="204"/>
    </row>
    <row r="99" spans="1:4" x14ac:dyDescent="0.2">
      <c r="A99" s="205" t="s">
        <v>81</v>
      </c>
      <c r="B99" s="205"/>
      <c r="C99" s="205"/>
      <c r="D99" s="205"/>
    </row>
    <row r="100" spans="1:4" x14ac:dyDescent="0.2">
      <c r="A100" s="205" t="s">
        <v>82</v>
      </c>
      <c r="B100" s="205"/>
      <c r="C100" s="205"/>
      <c r="D100" s="167" t="s">
        <v>24</v>
      </c>
    </row>
    <row r="101" spans="1:4" x14ac:dyDescent="0.2">
      <c r="A101" s="227" t="s">
        <v>34</v>
      </c>
      <c r="B101" s="227"/>
      <c r="C101" s="227"/>
      <c r="D101" s="168"/>
    </row>
    <row r="102" spans="1:4" ht="15.75" customHeight="1" x14ac:dyDescent="0.2">
      <c r="A102" s="227" t="s">
        <v>83</v>
      </c>
      <c r="B102" s="227"/>
      <c r="C102" s="227"/>
      <c r="D102" s="168"/>
    </row>
    <row r="103" spans="1:4" ht="15.75" customHeight="1" x14ac:dyDescent="0.2">
      <c r="A103" s="227" t="s">
        <v>84</v>
      </c>
      <c r="B103" s="227"/>
      <c r="C103" s="227"/>
      <c r="D103" s="169">
        <f>D95+D29+D19+D36</f>
        <v>5880.9591666666665</v>
      </c>
    </row>
    <row r="105" spans="1:4" x14ac:dyDescent="0.2">
      <c r="A105" s="222" t="s">
        <v>85</v>
      </c>
      <c r="B105" s="222"/>
    </row>
    <row r="107" spans="1:4" x14ac:dyDescent="0.2">
      <c r="A107" s="223" t="s">
        <v>86</v>
      </c>
      <c r="B107" s="223"/>
      <c r="C107" s="111" t="s">
        <v>23</v>
      </c>
      <c r="D107" s="111" t="s">
        <v>24</v>
      </c>
    </row>
    <row r="108" spans="1:4" ht="22.5" customHeight="1" x14ac:dyDescent="0.2">
      <c r="A108" s="224" t="s">
        <v>87</v>
      </c>
      <c r="B108" s="224"/>
      <c r="C108" s="231">
        <v>0.05</v>
      </c>
      <c r="D108" s="238">
        <f>($D$103+$D$83+$D$70+$D$50+$D$36+$D$25+$D$24+$D$23+$D$22+$D$13+$D$11)*C108</f>
        <v>588.09591666666665</v>
      </c>
    </row>
    <row r="109" spans="1:4" x14ac:dyDescent="0.2">
      <c r="A109" s="225" t="s">
        <v>88</v>
      </c>
      <c r="B109" s="225"/>
      <c r="C109" s="232"/>
      <c r="D109" s="238"/>
    </row>
    <row r="110" spans="1:4" x14ac:dyDescent="0.2">
      <c r="A110" s="224" t="s">
        <v>89</v>
      </c>
      <c r="B110" s="224"/>
      <c r="C110" s="232"/>
      <c r="D110" s="238"/>
    </row>
    <row r="111" spans="1:4" ht="22.5" customHeight="1" x14ac:dyDescent="0.2">
      <c r="A111" s="226" t="s">
        <v>87</v>
      </c>
      <c r="B111" s="226"/>
      <c r="C111" s="233"/>
      <c r="D111" s="199"/>
    </row>
    <row r="112" spans="1:4" x14ac:dyDescent="0.2">
      <c r="A112" s="225" t="s">
        <v>88</v>
      </c>
      <c r="B112" s="225"/>
      <c r="C112" s="199"/>
      <c r="D112" s="199"/>
    </row>
    <row r="113" spans="1:4" x14ac:dyDescent="0.2">
      <c r="A113" s="224" t="s">
        <v>89</v>
      </c>
      <c r="B113" s="224"/>
      <c r="C113" s="199"/>
      <c r="D113" s="199"/>
    </row>
    <row r="114" spans="1:4" ht="24" customHeight="1" x14ac:dyDescent="0.2">
      <c r="A114" s="206" t="s">
        <v>7</v>
      </c>
      <c r="B114" s="197" t="s">
        <v>203</v>
      </c>
      <c r="C114" s="262">
        <v>0.02</v>
      </c>
      <c r="D114" s="263">
        <f>(D103)*C114</f>
        <v>117.61918333333334</v>
      </c>
    </row>
    <row r="115" spans="1:4" x14ac:dyDescent="0.2">
      <c r="A115" s="206"/>
      <c r="B115" s="197"/>
      <c r="C115" s="259"/>
      <c r="D115" s="259"/>
    </row>
    <row r="116" spans="1:4" x14ac:dyDescent="0.2">
      <c r="A116" s="225" t="s">
        <v>92</v>
      </c>
      <c r="B116" s="225"/>
      <c r="C116" s="260"/>
      <c r="D116" s="261"/>
    </row>
    <row r="117" spans="1:4" x14ac:dyDescent="0.2">
      <c r="A117" s="225" t="s">
        <v>94</v>
      </c>
      <c r="B117" s="225"/>
      <c r="C117" s="261"/>
      <c r="D117" s="261"/>
    </row>
    <row r="118" spans="1:4" x14ac:dyDescent="0.2">
      <c r="A118" s="239" t="s">
        <v>93</v>
      </c>
      <c r="B118" s="239"/>
      <c r="C118" s="261"/>
      <c r="D118" s="261"/>
    </row>
    <row r="119" spans="1:4" x14ac:dyDescent="0.2">
      <c r="A119" s="95" t="s">
        <v>9</v>
      </c>
      <c r="B119" s="96" t="s">
        <v>90</v>
      </c>
      <c r="C119" s="170">
        <v>0.1</v>
      </c>
      <c r="D119" s="171">
        <f>(D103*C119)</f>
        <v>588.09591666666665</v>
      </c>
    </row>
    <row r="120" spans="1:4" x14ac:dyDescent="0.2">
      <c r="A120" s="240" t="s">
        <v>91</v>
      </c>
      <c r="B120" s="240"/>
      <c r="C120" s="160"/>
      <c r="D120" s="172">
        <f>D119+D114</f>
        <v>705.71510000000001</v>
      </c>
    </row>
    <row r="122" spans="1:4" x14ac:dyDescent="0.2">
      <c r="A122" s="222" t="s">
        <v>98</v>
      </c>
      <c r="B122" s="222"/>
    </row>
    <row r="124" spans="1:4" ht="15" customHeight="1" x14ac:dyDescent="0.2">
      <c r="A124" s="206" t="s">
        <v>110</v>
      </c>
      <c r="B124" s="206"/>
      <c r="C124" s="206"/>
      <c r="D124" s="206"/>
    </row>
    <row r="125" spans="1:4" ht="24" customHeight="1" x14ac:dyDescent="0.2">
      <c r="A125" s="206"/>
      <c r="B125" s="206"/>
      <c r="C125" s="206"/>
      <c r="D125" s="206"/>
    </row>
    <row r="126" spans="1:4" ht="15.75" customHeight="1" x14ac:dyDescent="0.2">
      <c r="A126" s="206" t="s">
        <v>99</v>
      </c>
      <c r="B126" s="206"/>
      <c r="C126" s="94" t="s">
        <v>23</v>
      </c>
      <c r="D126" s="131" t="s">
        <v>24</v>
      </c>
    </row>
    <row r="127" spans="1:4" x14ac:dyDescent="0.2">
      <c r="A127" s="101"/>
      <c r="B127" s="132" t="s">
        <v>101</v>
      </c>
      <c r="C127" s="170">
        <v>0.03</v>
      </c>
      <c r="D127" s="133">
        <f>($D$120+$D$103)*C127</f>
        <v>197.60022799999999</v>
      </c>
    </row>
    <row r="128" spans="1:4" x14ac:dyDescent="0.2">
      <c r="A128" s="134" t="s">
        <v>7</v>
      </c>
      <c r="B128" s="135" t="s">
        <v>102</v>
      </c>
      <c r="C128" s="136">
        <v>6.4999999999999997E-3</v>
      </c>
      <c r="D128" s="133">
        <f>($D$120+$D$103)*C128</f>
        <v>42.813382733333334</v>
      </c>
    </row>
    <row r="129" spans="1:4" ht="23.25" customHeight="1" x14ac:dyDescent="0.2">
      <c r="A129" s="137" t="s">
        <v>100</v>
      </c>
      <c r="B129" s="206" t="s">
        <v>109</v>
      </c>
      <c r="C129" s="258">
        <v>1.4999999999999999E-2</v>
      </c>
      <c r="D129" s="230">
        <f>(D120+D103)*C129</f>
        <v>98.800113999999994</v>
      </c>
    </row>
    <row r="130" spans="1:4" ht="12.75" customHeight="1" x14ac:dyDescent="0.2">
      <c r="A130" s="173"/>
      <c r="B130" s="206"/>
      <c r="C130" s="259"/>
      <c r="D130" s="230"/>
    </row>
    <row r="131" spans="1:4" ht="15.75" customHeight="1" x14ac:dyDescent="0.2">
      <c r="A131" s="139" t="s">
        <v>9</v>
      </c>
      <c r="B131" s="96" t="s">
        <v>104</v>
      </c>
      <c r="C131" s="170"/>
      <c r="D131" s="41"/>
    </row>
    <row r="132" spans="1:4" ht="26.25" customHeight="1" x14ac:dyDescent="0.2">
      <c r="A132" s="137" t="s">
        <v>103</v>
      </c>
      <c r="B132" s="96" t="s">
        <v>105</v>
      </c>
      <c r="C132" s="170">
        <v>0.05</v>
      </c>
      <c r="D132" s="133">
        <f>($D$120+$D$103)*C132</f>
        <v>329.33371333333338</v>
      </c>
    </row>
    <row r="133" spans="1:4" x14ac:dyDescent="0.2">
      <c r="A133" s="94" t="s">
        <v>11</v>
      </c>
      <c r="B133" s="140" t="s">
        <v>106</v>
      </c>
      <c r="C133" s="160"/>
      <c r="D133" s="41"/>
    </row>
    <row r="134" spans="1:4" ht="15.75" customHeight="1" x14ac:dyDescent="0.2">
      <c r="A134" s="248" t="s">
        <v>107</v>
      </c>
      <c r="B134" s="249"/>
      <c r="C134" s="141">
        <f>D134/(D120+D103)</f>
        <v>0.10150000000000001</v>
      </c>
      <c r="D134" s="142">
        <f>SUM(D127:D133)</f>
        <v>668.5474380666667</v>
      </c>
    </row>
    <row r="135" spans="1:4" ht="15.75" customHeight="1" x14ac:dyDescent="0.2">
      <c r="A135" s="206" t="s">
        <v>108</v>
      </c>
      <c r="B135" s="143" t="s">
        <v>111</v>
      </c>
      <c r="C135" s="247"/>
      <c r="D135" s="247"/>
    </row>
    <row r="136" spans="1:4" x14ac:dyDescent="0.2">
      <c r="A136" s="206"/>
      <c r="B136" s="174" t="s">
        <v>112</v>
      </c>
      <c r="C136" s="247"/>
      <c r="D136" s="247"/>
    </row>
    <row r="139" spans="1:4" x14ac:dyDescent="0.2">
      <c r="A139" s="175" t="s">
        <v>235</v>
      </c>
      <c r="B139" s="176"/>
      <c r="C139" s="176"/>
      <c r="D139" s="176"/>
    </row>
    <row r="140" spans="1:4" x14ac:dyDescent="0.2">
      <c r="A140" s="175"/>
      <c r="B140" s="176"/>
      <c r="C140" s="176"/>
      <c r="D140" s="176"/>
    </row>
    <row r="141" spans="1:4" x14ac:dyDescent="0.2">
      <c r="A141" s="95" t="s">
        <v>114</v>
      </c>
      <c r="B141" s="250" t="s">
        <v>115</v>
      </c>
      <c r="C141" s="250"/>
      <c r="D141" s="147" t="s">
        <v>116</v>
      </c>
    </row>
    <row r="142" spans="1:4" x14ac:dyDescent="0.2">
      <c r="A142" s="95" t="s">
        <v>7</v>
      </c>
      <c r="B142" s="96" t="s">
        <v>117</v>
      </c>
      <c r="C142" s="41"/>
      <c r="D142" s="148">
        <f>D19+D29</f>
        <v>4500</v>
      </c>
    </row>
    <row r="143" spans="1:4" x14ac:dyDescent="0.2">
      <c r="A143" s="95" t="s">
        <v>9</v>
      </c>
      <c r="B143" s="96" t="s">
        <v>118</v>
      </c>
      <c r="C143" s="96" t="s">
        <v>23</v>
      </c>
      <c r="D143" s="148">
        <f>D95</f>
        <v>1286.0099999999998</v>
      </c>
    </row>
    <row r="144" spans="1:4" x14ac:dyDescent="0.2">
      <c r="A144" s="95" t="s">
        <v>11</v>
      </c>
      <c r="B144" s="96" t="s">
        <v>119</v>
      </c>
      <c r="C144" s="41"/>
      <c r="D144" s="148">
        <f>D36</f>
        <v>94.949166666666656</v>
      </c>
    </row>
    <row r="145" spans="1:4" x14ac:dyDescent="0.2">
      <c r="A145" s="95" t="s">
        <v>13</v>
      </c>
      <c r="B145" s="96" t="s">
        <v>120</v>
      </c>
      <c r="C145" s="41"/>
      <c r="D145" s="148">
        <f>SUM(D142:D144)</f>
        <v>5880.9591666666665</v>
      </c>
    </row>
    <row r="146" spans="1:4" x14ac:dyDescent="0.2">
      <c r="A146" s="41"/>
      <c r="B146" s="96" t="s">
        <v>121</v>
      </c>
      <c r="C146" s="41"/>
      <c r="D146" s="149">
        <f>D145+D134</f>
        <v>6549.506604733333</v>
      </c>
    </row>
    <row r="147" spans="1:4" x14ac:dyDescent="0.2">
      <c r="A147" s="150"/>
      <c r="B147" s="176"/>
      <c r="C147" s="176"/>
      <c r="D147" s="176"/>
    </row>
    <row r="148" spans="1:4" ht="57.75" customHeight="1" x14ac:dyDescent="0.2">
      <c r="A148" s="257" t="s">
        <v>236</v>
      </c>
      <c r="B148" s="257"/>
      <c r="C148" s="257"/>
      <c r="D148" s="257"/>
    </row>
    <row r="149" spans="1:4" ht="46.5" customHeight="1" x14ac:dyDescent="0.2">
      <c r="A149" s="255" t="s">
        <v>237</v>
      </c>
      <c r="B149" s="255"/>
      <c r="C149" s="255"/>
      <c r="D149" s="255"/>
    </row>
    <row r="150" spans="1:4" ht="76.5" customHeight="1" x14ac:dyDescent="0.2">
      <c r="A150" s="256" t="s">
        <v>238</v>
      </c>
      <c r="B150" s="256"/>
      <c r="C150" s="256"/>
      <c r="D150" s="256"/>
    </row>
    <row r="153" spans="1:4" x14ac:dyDescent="0.2">
      <c r="A153" s="151" t="s">
        <v>125</v>
      </c>
      <c r="B153" s="176"/>
      <c r="C153" s="176"/>
    </row>
    <row r="154" spans="1:4" x14ac:dyDescent="0.2">
      <c r="A154" s="150"/>
      <c r="B154" s="176"/>
      <c r="C154" s="176"/>
    </row>
    <row r="155" spans="1:4" ht="15" customHeight="1" x14ac:dyDescent="0.2">
      <c r="A155" s="241" t="s">
        <v>126</v>
      </c>
      <c r="B155" s="242"/>
      <c r="C155" s="243"/>
      <c r="D155" s="41"/>
    </row>
    <row r="156" spans="1:4" x14ac:dyDescent="0.2">
      <c r="A156" s="41"/>
      <c r="B156" s="241" t="s">
        <v>127</v>
      </c>
      <c r="C156" s="243"/>
      <c r="D156" s="152" t="s">
        <v>128</v>
      </c>
    </row>
    <row r="157" spans="1:4" x14ac:dyDescent="0.2">
      <c r="A157" s="95" t="s">
        <v>7</v>
      </c>
      <c r="B157" s="245" t="s">
        <v>129</v>
      </c>
      <c r="C157" s="246"/>
      <c r="D157" s="148">
        <f>D142</f>
        <v>4500</v>
      </c>
    </row>
    <row r="158" spans="1:4" x14ac:dyDescent="0.2">
      <c r="A158" s="95" t="s">
        <v>9</v>
      </c>
      <c r="B158" s="245" t="s">
        <v>130</v>
      </c>
      <c r="C158" s="246"/>
      <c r="D158" s="148">
        <f>D144</f>
        <v>94.949166666666656</v>
      </c>
    </row>
    <row r="159" spans="1:4" x14ac:dyDescent="0.2">
      <c r="A159" s="95" t="s">
        <v>11</v>
      </c>
      <c r="B159" s="245" t="s">
        <v>131</v>
      </c>
      <c r="C159" s="246"/>
      <c r="D159" s="133">
        <f>D134</f>
        <v>668.5474380666667</v>
      </c>
    </row>
    <row r="160" spans="1:4" x14ac:dyDescent="0.2">
      <c r="A160" s="95" t="s">
        <v>13</v>
      </c>
      <c r="B160" s="245" t="s">
        <v>99</v>
      </c>
      <c r="C160" s="246"/>
      <c r="D160" s="148">
        <f>D143</f>
        <v>1286.0099999999998</v>
      </c>
    </row>
    <row r="161" spans="1:4" x14ac:dyDescent="0.2">
      <c r="A161" s="95" t="s">
        <v>15</v>
      </c>
      <c r="B161" s="245" t="s">
        <v>132</v>
      </c>
      <c r="C161" s="246"/>
      <c r="D161" s="148">
        <f>SUM(D157:D160)</f>
        <v>6549.506604733333</v>
      </c>
    </row>
    <row r="162" spans="1:4" ht="24" customHeight="1" x14ac:dyDescent="0.2">
      <c r="A162" s="95" t="s">
        <v>17</v>
      </c>
      <c r="B162" s="245" t="s">
        <v>133</v>
      </c>
      <c r="C162" s="246"/>
      <c r="D162" s="148">
        <f>D161/96000</f>
        <v>6.8224027132638879E-2</v>
      </c>
    </row>
    <row r="163" spans="1:4" x14ac:dyDescent="0.2">
      <c r="A163" s="95" t="s">
        <v>19</v>
      </c>
      <c r="B163" s="245" t="s">
        <v>134</v>
      </c>
      <c r="C163" s="246"/>
      <c r="D163" s="153">
        <v>8490</v>
      </c>
    </row>
    <row r="164" spans="1:4" ht="24" customHeight="1" x14ac:dyDescent="0.2">
      <c r="A164" s="95" t="s">
        <v>21</v>
      </c>
      <c r="B164" s="245" t="s">
        <v>135</v>
      </c>
      <c r="C164" s="246"/>
      <c r="D164" s="154">
        <f>(D163*D162)/2340</f>
        <v>0.24753076510944622</v>
      </c>
    </row>
    <row r="167" spans="1:4" ht="15.75" customHeight="1" x14ac:dyDescent="0.2">
      <c r="A167" s="254" t="s">
        <v>226</v>
      </c>
      <c r="B167" s="254"/>
      <c r="C167" s="254"/>
      <c r="D167" s="254"/>
    </row>
    <row r="168" spans="1:4" ht="30" customHeight="1" x14ac:dyDescent="0.2">
      <c r="A168" s="254"/>
      <c r="B168" s="254"/>
      <c r="C168" s="254"/>
      <c r="D168" s="254"/>
    </row>
    <row r="170" spans="1:4" ht="31.5" customHeight="1" x14ac:dyDescent="0.2">
      <c r="A170" s="253"/>
      <c r="B170" s="253"/>
      <c r="C170" s="253"/>
      <c r="D170" s="253"/>
    </row>
    <row r="171" spans="1:4" ht="33.75" customHeight="1" x14ac:dyDescent="0.2">
      <c r="A171" s="253"/>
      <c r="B171" s="253"/>
      <c r="C171" s="253"/>
      <c r="D171" s="253"/>
    </row>
    <row r="172" spans="1:4" ht="33" customHeight="1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</sheetData>
  <mergeCells count="138">
    <mergeCell ref="A1:B1"/>
    <mergeCell ref="A2:C2"/>
    <mergeCell ref="B3:C3"/>
    <mergeCell ref="A4:C4"/>
    <mergeCell ref="A5:C5"/>
    <mergeCell ref="A6:C6"/>
    <mergeCell ref="B25:C25"/>
    <mergeCell ref="B26:C26"/>
    <mergeCell ref="B27:C27"/>
    <mergeCell ref="B28:C28"/>
    <mergeCell ref="A31:C31"/>
    <mergeCell ref="B32:C32"/>
    <mergeCell ref="A8:D8"/>
    <mergeCell ref="A10:B10"/>
    <mergeCell ref="A21:C21"/>
    <mergeCell ref="B22:C22"/>
    <mergeCell ref="B23:C23"/>
    <mergeCell ref="B24:C24"/>
    <mergeCell ref="B33:C33"/>
    <mergeCell ref="B34:C34"/>
    <mergeCell ref="B35:C35"/>
    <mergeCell ref="A36:C36"/>
    <mergeCell ref="A37:D37"/>
    <mergeCell ref="A40:B40"/>
    <mergeCell ref="C40:C41"/>
    <mergeCell ref="D40:D41"/>
    <mergeCell ref="A41:B41"/>
    <mergeCell ref="A58:A59"/>
    <mergeCell ref="C58:C59"/>
    <mergeCell ref="D58:D59"/>
    <mergeCell ref="A60:A61"/>
    <mergeCell ref="C60:C61"/>
    <mergeCell ref="D60:D61"/>
    <mergeCell ref="A50:B50"/>
    <mergeCell ref="A53:B53"/>
    <mergeCell ref="A54:A55"/>
    <mergeCell ref="C54:C55"/>
    <mergeCell ref="D54:D55"/>
    <mergeCell ref="A56:A57"/>
    <mergeCell ref="C56:C57"/>
    <mergeCell ref="D56:D57"/>
    <mergeCell ref="A66:A67"/>
    <mergeCell ref="C66:C67"/>
    <mergeCell ref="D66:D67"/>
    <mergeCell ref="A68:A69"/>
    <mergeCell ref="C68:C69"/>
    <mergeCell ref="D68:D69"/>
    <mergeCell ref="A62:A63"/>
    <mergeCell ref="C62:C63"/>
    <mergeCell ref="D62:D63"/>
    <mergeCell ref="A64:A65"/>
    <mergeCell ref="C64:C65"/>
    <mergeCell ref="D64:D65"/>
    <mergeCell ref="A79:A82"/>
    <mergeCell ref="B79:B80"/>
    <mergeCell ref="C79:C80"/>
    <mergeCell ref="D79:D80"/>
    <mergeCell ref="B81:B82"/>
    <mergeCell ref="C81:C82"/>
    <mergeCell ref="D81:D82"/>
    <mergeCell ref="A70:B70"/>
    <mergeCell ref="A73:B73"/>
    <mergeCell ref="A74:A75"/>
    <mergeCell ref="C74:C75"/>
    <mergeCell ref="D74:D75"/>
    <mergeCell ref="A76:A77"/>
    <mergeCell ref="C76:C77"/>
    <mergeCell ref="D76:D77"/>
    <mergeCell ref="A91:C91"/>
    <mergeCell ref="A92:A93"/>
    <mergeCell ref="B92:C92"/>
    <mergeCell ref="D92:D93"/>
    <mergeCell ref="B93:C93"/>
    <mergeCell ref="A94:B95"/>
    <mergeCell ref="A83:B83"/>
    <mergeCell ref="A86:B86"/>
    <mergeCell ref="A87:A88"/>
    <mergeCell ref="B87:B88"/>
    <mergeCell ref="C87:C88"/>
    <mergeCell ref="D87:D88"/>
    <mergeCell ref="A105:B105"/>
    <mergeCell ref="A107:B107"/>
    <mergeCell ref="A108:B108"/>
    <mergeCell ref="C108:C110"/>
    <mergeCell ref="D108:D110"/>
    <mergeCell ref="A109:B109"/>
    <mergeCell ref="A110:B110"/>
    <mergeCell ref="A98:D98"/>
    <mergeCell ref="A99:D99"/>
    <mergeCell ref="A100:C100"/>
    <mergeCell ref="A101:C101"/>
    <mergeCell ref="A102:C102"/>
    <mergeCell ref="A103:C103"/>
    <mergeCell ref="A111:B111"/>
    <mergeCell ref="C111:C113"/>
    <mergeCell ref="D111:D113"/>
    <mergeCell ref="A112:B112"/>
    <mergeCell ref="A113:B113"/>
    <mergeCell ref="A114:A115"/>
    <mergeCell ref="B114:B115"/>
    <mergeCell ref="C114:C115"/>
    <mergeCell ref="D114:D115"/>
    <mergeCell ref="A122:B122"/>
    <mergeCell ref="A124:C125"/>
    <mergeCell ref="D124:D125"/>
    <mergeCell ref="A126:B126"/>
    <mergeCell ref="B129:B130"/>
    <mergeCell ref="C129:C130"/>
    <mergeCell ref="D129:D130"/>
    <mergeCell ref="A116:B116"/>
    <mergeCell ref="C116:C118"/>
    <mergeCell ref="D116:D118"/>
    <mergeCell ref="A117:B117"/>
    <mergeCell ref="A118:B118"/>
    <mergeCell ref="A120:B120"/>
    <mergeCell ref="A149:D149"/>
    <mergeCell ref="A150:D150"/>
    <mergeCell ref="A155:C155"/>
    <mergeCell ref="B156:C156"/>
    <mergeCell ref="B157:C157"/>
    <mergeCell ref="B158:C158"/>
    <mergeCell ref="A134:B134"/>
    <mergeCell ref="A135:A136"/>
    <mergeCell ref="C135:C136"/>
    <mergeCell ref="D135:D136"/>
    <mergeCell ref="B141:C141"/>
    <mergeCell ref="A148:D148"/>
    <mergeCell ref="A167:D168"/>
    <mergeCell ref="A170:D170"/>
    <mergeCell ref="A171:D171"/>
    <mergeCell ref="A172:D172"/>
    <mergeCell ref="A173:D174"/>
    <mergeCell ref="B159:C159"/>
    <mergeCell ref="B160:C160"/>
    <mergeCell ref="B161:C161"/>
    <mergeCell ref="B162:C162"/>
    <mergeCell ref="B163:C163"/>
    <mergeCell ref="B164:C16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4"/>
  <sheetViews>
    <sheetView zoomScale="140" zoomScaleNormal="140" workbookViewId="0">
      <selection activeCell="A170" sqref="A170:D174"/>
    </sheetView>
  </sheetViews>
  <sheetFormatPr defaultRowHeight="11.25" x14ac:dyDescent="0.2"/>
  <cols>
    <col min="1" max="1" width="21.42578125" style="155" customWidth="1"/>
    <col min="2" max="2" width="44.42578125" style="155" customWidth="1"/>
    <col min="3" max="3" width="9.85546875" style="155" customWidth="1"/>
    <col min="4" max="4" width="14" style="156" bestFit="1" customWidth="1"/>
    <col min="5" max="5" width="9.140625" style="155"/>
    <col min="6" max="6" width="13.28515625" style="155" bestFit="1" customWidth="1"/>
    <col min="7" max="16384" width="9.140625" style="155"/>
  </cols>
  <sheetData>
    <row r="1" spans="1:4" x14ac:dyDescent="0.2">
      <c r="A1" s="264" t="s">
        <v>4</v>
      </c>
      <c r="B1" s="264"/>
    </row>
    <row r="2" spans="1:4" x14ac:dyDescent="0.2">
      <c r="A2" s="265"/>
      <c r="B2" s="265"/>
      <c r="C2" s="265"/>
    </row>
    <row r="3" spans="1:4" x14ac:dyDescent="0.2">
      <c r="A3" s="157"/>
      <c r="B3" s="266" t="s">
        <v>241</v>
      </c>
      <c r="C3" s="267"/>
      <c r="D3" s="158"/>
    </row>
    <row r="4" spans="1:4" x14ac:dyDescent="0.2">
      <c r="A4" s="196" t="s">
        <v>0</v>
      </c>
      <c r="B4" s="197"/>
      <c r="C4" s="197"/>
      <c r="D4" s="158"/>
    </row>
    <row r="5" spans="1:4" x14ac:dyDescent="0.2">
      <c r="A5" s="197" t="s">
        <v>1</v>
      </c>
      <c r="B5" s="197"/>
      <c r="C5" s="197"/>
      <c r="D5" s="158"/>
    </row>
    <row r="6" spans="1:4" x14ac:dyDescent="0.2">
      <c r="A6" s="197" t="s">
        <v>2</v>
      </c>
      <c r="B6" s="197"/>
      <c r="C6" s="197"/>
      <c r="D6" s="158"/>
    </row>
    <row r="8" spans="1:4" x14ac:dyDescent="0.2">
      <c r="A8" s="194" t="s">
        <v>5</v>
      </c>
      <c r="B8" s="194"/>
      <c r="C8" s="194"/>
      <c r="D8" s="194"/>
    </row>
    <row r="9" spans="1:4" x14ac:dyDescent="0.2">
      <c r="A9" s="93"/>
      <c r="B9" s="93"/>
      <c r="C9" s="93"/>
      <c r="D9" s="93"/>
    </row>
    <row r="10" spans="1:4" x14ac:dyDescent="0.2">
      <c r="A10" s="195" t="s">
        <v>6</v>
      </c>
      <c r="B10" s="195"/>
      <c r="C10" s="94" t="s">
        <v>23</v>
      </c>
      <c r="D10" s="94" t="s">
        <v>24</v>
      </c>
    </row>
    <row r="11" spans="1:4" x14ac:dyDescent="0.2">
      <c r="A11" s="95" t="s">
        <v>7</v>
      </c>
      <c r="B11" s="96" t="s">
        <v>8</v>
      </c>
      <c r="C11" s="87"/>
      <c r="D11" s="178">
        <v>4000</v>
      </c>
    </row>
    <row r="12" spans="1:4" x14ac:dyDescent="0.2">
      <c r="A12" s="95" t="s">
        <v>9</v>
      </c>
      <c r="B12" s="96" t="s">
        <v>10</v>
      </c>
      <c r="C12" s="87"/>
      <c r="D12" s="97"/>
    </row>
    <row r="13" spans="1:4" x14ac:dyDescent="0.2">
      <c r="A13" s="95" t="s">
        <v>11</v>
      </c>
      <c r="B13" s="96" t="s">
        <v>12</v>
      </c>
      <c r="C13" s="87"/>
      <c r="D13" s="97"/>
    </row>
    <row r="14" spans="1:4" x14ac:dyDescent="0.2">
      <c r="A14" s="95" t="s">
        <v>13</v>
      </c>
      <c r="B14" s="96" t="s">
        <v>14</v>
      </c>
      <c r="C14" s="98"/>
      <c r="D14" s="97"/>
    </row>
    <row r="15" spans="1:4" x14ac:dyDescent="0.2">
      <c r="A15" s="95" t="s">
        <v>15</v>
      </c>
      <c r="B15" s="96" t="s">
        <v>16</v>
      </c>
      <c r="C15" s="87"/>
      <c r="D15" s="97"/>
    </row>
    <row r="16" spans="1:4" x14ac:dyDescent="0.2">
      <c r="A16" s="95" t="s">
        <v>17</v>
      </c>
      <c r="B16" s="96" t="s">
        <v>18</v>
      </c>
      <c r="C16" s="87"/>
      <c r="D16" s="97"/>
    </row>
    <row r="17" spans="1:5" x14ac:dyDescent="0.2">
      <c r="A17" s="95" t="s">
        <v>19</v>
      </c>
      <c r="B17" s="96" t="s">
        <v>20</v>
      </c>
      <c r="C17" s="87"/>
      <c r="D17" s="97"/>
    </row>
    <row r="18" spans="1:5" x14ac:dyDescent="0.2">
      <c r="A18" s="95" t="s">
        <v>21</v>
      </c>
      <c r="B18" s="96" t="s">
        <v>22</v>
      </c>
      <c r="C18" s="87"/>
      <c r="D18" s="97"/>
    </row>
    <row r="19" spans="1:5" x14ac:dyDescent="0.2">
      <c r="A19" s="95"/>
      <c r="B19" s="96" t="s">
        <v>211</v>
      </c>
      <c r="C19" s="87"/>
      <c r="D19" s="99">
        <f>SUM(D11:D18)</f>
        <v>4000</v>
      </c>
    </row>
    <row r="21" spans="1:5" x14ac:dyDescent="0.2">
      <c r="A21" s="195" t="s">
        <v>25</v>
      </c>
      <c r="B21" s="195"/>
      <c r="C21" s="195"/>
      <c r="D21" s="94" t="s">
        <v>24</v>
      </c>
      <c r="E21" s="100"/>
    </row>
    <row r="22" spans="1:5" x14ac:dyDescent="0.2">
      <c r="A22" s="95" t="s">
        <v>7</v>
      </c>
      <c r="B22" s="197" t="s">
        <v>26</v>
      </c>
      <c r="C22" s="197"/>
      <c r="D22" s="97"/>
      <c r="E22" s="101"/>
    </row>
    <row r="23" spans="1:5" x14ac:dyDescent="0.2">
      <c r="A23" s="95" t="s">
        <v>9</v>
      </c>
      <c r="B23" s="197" t="s">
        <v>27</v>
      </c>
      <c r="C23" s="197"/>
      <c r="D23" s="97"/>
      <c r="E23" s="101"/>
    </row>
    <row r="24" spans="1:5" x14ac:dyDescent="0.2">
      <c r="A24" s="95" t="s">
        <v>11</v>
      </c>
      <c r="B24" s="197" t="s">
        <v>210</v>
      </c>
      <c r="C24" s="197"/>
      <c r="D24" s="97"/>
      <c r="E24" s="101"/>
    </row>
    <row r="25" spans="1:5" x14ac:dyDescent="0.2">
      <c r="A25" s="95" t="s">
        <v>13</v>
      </c>
      <c r="B25" s="197" t="s">
        <v>209</v>
      </c>
      <c r="C25" s="197"/>
      <c r="D25" s="97"/>
      <c r="E25" s="101"/>
    </row>
    <row r="26" spans="1:5" x14ac:dyDescent="0.2">
      <c r="A26" s="95" t="s">
        <v>15</v>
      </c>
      <c r="B26" s="197" t="s">
        <v>30</v>
      </c>
      <c r="C26" s="197"/>
      <c r="D26" s="97"/>
      <c r="E26" s="101"/>
    </row>
    <row r="27" spans="1:5" x14ac:dyDescent="0.2">
      <c r="A27" s="95" t="s">
        <v>17</v>
      </c>
      <c r="B27" s="197" t="s">
        <v>31</v>
      </c>
      <c r="C27" s="197"/>
      <c r="D27" s="97"/>
      <c r="E27" s="101"/>
    </row>
    <row r="28" spans="1:5" x14ac:dyDescent="0.2">
      <c r="A28" s="95" t="s">
        <v>19</v>
      </c>
      <c r="B28" s="197" t="s">
        <v>22</v>
      </c>
      <c r="C28" s="197"/>
      <c r="D28" s="97"/>
      <c r="E28" s="101"/>
    </row>
    <row r="29" spans="1:5" x14ac:dyDescent="0.2">
      <c r="A29" s="95"/>
      <c r="B29" s="96" t="s">
        <v>211</v>
      </c>
      <c r="C29" s="87"/>
      <c r="D29" s="99">
        <f>SUM(D21:D28)</f>
        <v>0</v>
      </c>
    </row>
    <row r="31" spans="1:5" x14ac:dyDescent="0.2">
      <c r="A31" s="195" t="s">
        <v>32</v>
      </c>
      <c r="B31" s="195"/>
      <c r="C31" s="195"/>
      <c r="D31" s="94" t="s">
        <v>24</v>
      </c>
      <c r="E31" s="101"/>
    </row>
    <row r="32" spans="1:5" x14ac:dyDescent="0.2">
      <c r="A32" s="95" t="s">
        <v>7</v>
      </c>
      <c r="B32" s="197" t="s">
        <v>33</v>
      </c>
      <c r="C32" s="197"/>
      <c r="D32" s="97"/>
      <c r="E32" s="101"/>
    </row>
    <row r="33" spans="1:9" x14ac:dyDescent="0.2">
      <c r="A33" s="95" t="s">
        <v>9</v>
      </c>
      <c r="B33" s="197" t="s">
        <v>34</v>
      </c>
      <c r="C33" s="197"/>
      <c r="D33" s="97">
        <f>106.25/12</f>
        <v>8.8541666666666661</v>
      </c>
      <c r="E33" s="101"/>
    </row>
    <row r="34" spans="1:9" x14ac:dyDescent="0.2">
      <c r="A34" s="95" t="s">
        <v>11</v>
      </c>
      <c r="B34" s="197" t="s">
        <v>35</v>
      </c>
      <c r="C34" s="197"/>
      <c r="D34" s="97">
        <f>7.8+(6*7.2)+2.05+2.9+11.42</f>
        <v>67.36999999999999</v>
      </c>
      <c r="E34" s="101"/>
    </row>
    <row r="35" spans="1:9" x14ac:dyDescent="0.2">
      <c r="A35" s="95" t="s">
        <v>13</v>
      </c>
      <c r="B35" s="197" t="s">
        <v>36</v>
      </c>
      <c r="C35" s="197"/>
      <c r="D35" s="97">
        <f>2</f>
        <v>2</v>
      </c>
      <c r="E35" s="101"/>
    </row>
    <row r="36" spans="1:9" x14ac:dyDescent="0.2">
      <c r="A36" s="197" t="s">
        <v>37</v>
      </c>
      <c r="B36" s="197"/>
      <c r="C36" s="197"/>
      <c r="D36" s="102">
        <f>SUM(D32:D35)</f>
        <v>78.224166666666662</v>
      </c>
      <c r="E36" s="101"/>
    </row>
    <row r="37" spans="1:9" x14ac:dyDescent="0.2">
      <c r="A37" s="200" t="s">
        <v>38</v>
      </c>
      <c r="B37" s="200"/>
      <c r="C37" s="200"/>
      <c r="D37" s="200"/>
      <c r="E37" s="100"/>
    </row>
    <row r="38" spans="1:9" x14ac:dyDescent="0.2">
      <c r="A38" s="103"/>
      <c r="B38" s="103"/>
      <c r="C38" s="103"/>
      <c r="D38" s="104"/>
      <c r="E38" s="100"/>
    </row>
    <row r="40" spans="1:9" x14ac:dyDescent="0.2">
      <c r="A40" s="195" t="s">
        <v>39</v>
      </c>
      <c r="B40" s="195"/>
      <c r="C40" s="195" t="s">
        <v>23</v>
      </c>
      <c r="D40" s="195" t="s">
        <v>24</v>
      </c>
    </row>
    <row r="41" spans="1:9" x14ac:dyDescent="0.2">
      <c r="A41" s="195" t="s">
        <v>40</v>
      </c>
      <c r="B41" s="195"/>
      <c r="C41" s="195"/>
      <c r="D41" s="195"/>
    </row>
    <row r="42" spans="1:9" x14ac:dyDescent="0.2">
      <c r="A42" s="95">
        <v>1</v>
      </c>
      <c r="B42" s="96" t="s">
        <v>41</v>
      </c>
      <c r="C42" s="105">
        <v>0.09</v>
      </c>
      <c r="D42" s="106"/>
    </row>
    <row r="43" spans="1:9" x14ac:dyDescent="0.2">
      <c r="A43" s="95">
        <v>2</v>
      </c>
      <c r="B43" s="96" t="s">
        <v>42</v>
      </c>
      <c r="C43" s="41"/>
      <c r="D43" s="87"/>
    </row>
    <row r="44" spans="1:9" x14ac:dyDescent="0.2">
      <c r="A44" s="95">
        <v>3</v>
      </c>
      <c r="B44" s="96" t="s">
        <v>43</v>
      </c>
      <c r="C44" s="41"/>
      <c r="D44" s="87"/>
    </row>
    <row r="45" spans="1:9" x14ac:dyDescent="0.2">
      <c r="A45" s="95">
        <v>4</v>
      </c>
      <c r="B45" s="96" t="s">
        <v>44</v>
      </c>
      <c r="C45" s="41"/>
      <c r="D45" s="87"/>
    </row>
    <row r="46" spans="1:9" x14ac:dyDescent="0.2">
      <c r="A46" s="95">
        <v>5</v>
      </c>
      <c r="B46" s="96" t="s">
        <v>45</v>
      </c>
      <c r="C46" s="41"/>
      <c r="D46" s="87"/>
    </row>
    <row r="47" spans="1:9" x14ac:dyDescent="0.2">
      <c r="A47" s="95">
        <v>6</v>
      </c>
      <c r="B47" s="96" t="s">
        <v>46</v>
      </c>
      <c r="C47" s="107">
        <v>0.08</v>
      </c>
      <c r="D47" s="106"/>
      <c r="I47" s="159"/>
    </row>
    <row r="48" spans="1:9" x14ac:dyDescent="0.2">
      <c r="A48" s="95">
        <v>7</v>
      </c>
      <c r="B48" s="96" t="s">
        <v>47</v>
      </c>
      <c r="C48" s="41"/>
      <c r="D48" s="87"/>
    </row>
    <row r="49" spans="1:6" x14ac:dyDescent="0.2">
      <c r="A49" s="95">
        <v>8</v>
      </c>
      <c r="B49" s="96" t="s">
        <v>48</v>
      </c>
      <c r="C49" s="41"/>
      <c r="D49" s="87"/>
    </row>
    <row r="50" spans="1:6" x14ac:dyDescent="0.2">
      <c r="A50" s="207" t="s">
        <v>49</v>
      </c>
      <c r="B50" s="207"/>
      <c r="C50" s="160"/>
      <c r="D50" s="161">
        <f>SUM(D42:D49)</f>
        <v>0</v>
      </c>
    </row>
    <row r="51" spans="1:6" x14ac:dyDescent="0.2">
      <c r="A51" s="100"/>
      <c r="B51" s="100"/>
    </row>
    <row r="53" spans="1:6" x14ac:dyDescent="0.2">
      <c r="A53" s="204" t="s">
        <v>50</v>
      </c>
      <c r="B53" s="204"/>
      <c r="C53" s="94" t="s">
        <v>23</v>
      </c>
      <c r="D53" s="111" t="s">
        <v>24</v>
      </c>
    </row>
    <row r="54" spans="1:6" x14ac:dyDescent="0.2">
      <c r="A54" s="205">
        <v>9</v>
      </c>
      <c r="B54" s="112" t="s">
        <v>51</v>
      </c>
      <c r="C54" s="208">
        <v>0.111</v>
      </c>
      <c r="D54" s="198"/>
    </row>
    <row r="55" spans="1:6" x14ac:dyDescent="0.2">
      <c r="A55" s="205"/>
      <c r="B55" s="113" t="s">
        <v>52</v>
      </c>
      <c r="C55" s="206"/>
      <c r="D55" s="199"/>
      <c r="E55" s="162"/>
      <c r="F55" s="163"/>
    </row>
    <row r="56" spans="1:6" x14ac:dyDescent="0.2">
      <c r="A56" s="206">
        <v>10</v>
      </c>
      <c r="B56" s="112" t="s">
        <v>53</v>
      </c>
      <c r="C56" s="208">
        <v>1.3899999999999999E-2</v>
      </c>
      <c r="D56" s="198"/>
    </row>
    <row r="57" spans="1:6" x14ac:dyDescent="0.2">
      <c r="A57" s="206"/>
      <c r="B57" s="113" t="s">
        <v>54</v>
      </c>
      <c r="C57" s="206"/>
      <c r="D57" s="199"/>
      <c r="E57" s="164"/>
    </row>
    <row r="58" spans="1:6" x14ac:dyDescent="0.2">
      <c r="A58" s="206">
        <v>11</v>
      </c>
      <c r="B58" s="112" t="s">
        <v>55</v>
      </c>
      <c r="C58" s="208">
        <v>6.9999999999999999E-4</v>
      </c>
      <c r="D58" s="198"/>
      <c r="E58" s="164"/>
    </row>
    <row r="59" spans="1:6" x14ac:dyDescent="0.2">
      <c r="A59" s="206"/>
      <c r="B59" s="113" t="s">
        <v>56</v>
      </c>
      <c r="C59" s="206"/>
      <c r="D59" s="199"/>
    </row>
    <row r="60" spans="1:6" x14ac:dyDescent="0.2">
      <c r="A60" s="206">
        <v>12</v>
      </c>
      <c r="B60" s="96" t="s">
        <v>57</v>
      </c>
      <c r="C60" s="208">
        <v>2.0000000000000001E-4</v>
      </c>
      <c r="D60" s="198"/>
    </row>
    <row r="61" spans="1:6" x14ac:dyDescent="0.2">
      <c r="A61" s="206"/>
      <c r="B61" s="113" t="s">
        <v>58</v>
      </c>
      <c r="C61" s="206"/>
      <c r="D61" s="199"/>
      <c r="E61" s="164"/>
    </row>
    <row r="62" spans="1:6" x14ac:dyDescent="0.2">
      <c r="A62" s="206">
        <v>13</v>
      </c>
      <c r="B62" s="112" t="s">
        <v>59</v>
      </c>
      <c r="C62" s="208">
        <v>3.0000000000000001E-3</v>
      </c>
      <c r="D62" s="198"/>
      <c r="E62" s="164"/>
    </row>
    <row r="63" spans="1:6" x14ac:dyDescent="0.2">
      <c r="A63" s="206"/>
      <c r="B63" s="113" t="s">
        <v>60</v>
      </c>
      <c r="C63" s="206"/>
      <c r="D63" s="199"/>
    </row>
    <row r="64" spans="1:6" x14ac:dyDescent="0.2">
      <c r="A64" s="206">
        <v>14</v>
      </c>
      <c r="B64" s="112" t="s">
        <v>61</v>
      </c>
      <c r="C64" s="208">
        <v>2.9999999999999997E-4</v>
      </c>
      <c r="D64" s="198"/>
    </row>
    <row r="65" spans="1:5" x14ac:dyDescent="0.2">
      <c r="A65" s="206"/>
      <c r="B65" s="113" t="s">
        <v>63</v>
      </c>
      <c r="C65" s="206"/>
      <c r="D65" s="199"/>
      <c r="E65" s="164"/>
    </row>
    <row r="66" spans="1:5" x14ac:dyDescent="0.2">
      <c r="A66" s="206">
        <v>15</v>
      </c>
      <c r="B66" s="112" t="s">
        <v>64</v>
      </c>
      <c r="C66" s="208">
        <v>1.1679999999999999E-2</v>
      </c>
      <c r="D66" s="198"/>
    </row>
    <row r="67" spans="1:5" ht="26.25" customHeight="1" x14ac:dyDescent="0.2">
      <c r="A67" s="206"/>
      <c r="B67" s="113" t="s">
        <v>202</v>
      </c>
      <c r="C67" s="206"/>
      <c r="D67" s="199"/>
      <c r="E67" s="165"/>
    </row>
    <row r="68" spans="1:5" x14ac:dyDescent="0.2">
      <c r="A68" s="210">
        <v>16</v>
      </c>
      <c r="B68" s="112" t="s">
        <v>65</v>
      </c>
      <c r="C68" s="208">
        <v>8.3000000000000004E-2</v>
      </c>
      <c r="D68" s="198"/>
    </row>
    <row r="69" spans="1:5" ht="22.5" x14ac:dyDescent="0.2">
      <c r="A69" s="210"/>
      <c r="B69" s="96" t="s">
        <v>66</v>
      </c>
      <c r="C69" s="206"/>
      <c r="D69" s="199"/>
      <c r="E69" s="162"/>
    </row>
    <row r="70" spans="1:5" x14ac:dyDescent="0.2">
      <c r="A70" s="207" t="s">
        <v>62</v>
      </c>
      <c r="B70" s="207"/>
      <c r="C70" s="160"/>
      <c r="D70" s="102">
        <f>SUM(D54:D69)</f>
        <v>0</v>
      </c>
    </row>
    <row r="73" spans="1:5" x14ac:dyDescent="0.2">
      <c r="A73" s="195" t="s">
        <v>67</v>
      </c>
      <c r="B73" s="195"/>
      <c r="C73" s="94" t="s">
        <v>23</v>
      </c>
      <c r="D73" s="111" t="s">
        <v>24</v>
      </c>
    </row>
    <row r="74" spans="1:5" x14ac:dyDescent="0.2">
      <c r="A74" s="215">
        <v>17</v>
      </c>
      <c r="B74" s="118" t="s">
        <v>68</v>
      </c>
      <c r="C74" s="209">
        <v>2.5000000000000001E-2</v>
      </c>
      <c r="D74" s="198"/>
    </row>
    <row r="75" spans="1:5" x14ac:dyDescent="0.2">
      <c r="A75" s="216"/>
      <c r="B75" s="119" t="s">
        <v>69</v>
      </c>
      <c r="C75" s="210"/>
      <c r="D75" s="199"/>
      <c r="E75" s="162"/>
    </row>
    <row r="76" spans="1:5" x14ac:dyDescent="0.2">
      <c r="A76" s="206">
        <v>18</v>
      </c>
      <c r="B76" s="120" t="s">
        <v>70</v>
      </c>
      <c r="C76" s="211">
        <v>5.0000000000000001E-3</v>
      </c>
      <c r="D76" s="198"/>
    </row>
    <row r="77" spans="1:5" x14ac:dyDescent="0.2">
      <c r="A77" s="206"/>
      <c r="B77" s="119" t="s">
        <v>71</v>
      </c>
      <c r="C77" s="212"/>
      <c r="D77" s="199"/>
      <c r="E77" s="164"/>
    </row>
    <row r="78" spans="1:5" x14ac:dyDescent="0.2">
      <c r="A78" s="95">
        <v>19</v>
      </c>
      <c r="B78" s="121" t="s">
        <v>72</v>
      </c>
      <c r="C78" s="41"/>
      <c r="D78" s="88"/>
      <c r="E78" s="166"/>
    </row>
    <row r="79" spans="1:5" x14ac:dyDescent="0.2">
      <c r="A79" s="206" t="s">
        <v>73</v>
      </c>
      <c r="B79" s="221" t="s">
        <v>97</v>
      </c>
      <c r="C79" s="213">
        <v>3.2000000000000001E-2</v>
      </c>
      <c r="D79" s="198"/>
    </row>
    <row r="80" spans="1:5" x14ac:dyDescent="0.2">
      <c r="A80" s="206"/>
      <c r="B80" s="196"/>
      <c r="C80" s="214"/>
      <c r="D80" s="199"/>
    </row>
    <row r="81" spans="1:5" x14ac:dyDescent="0.2">
      <c r="A81" s="206"/>
      <c r="B81" s="246" t="s">
        <v>96</v>
      </c>
      <c r="C81" s="213">
        <v>8.0000000000000002E-3</v>
      </c>
      <c r="D81" s="198"/>
    </row>
    <row r="82" spans="1:5" x14ac:dyDescent="0.2">
      <c r="A82" s="206"/>
      <c r="B82" s="246"/>
      <c r="C82" s="214"/>
      <c r="D82" s="199"/>
      <c r="E82" s="164"/>
    </row>
    <row r="83" spans="1:5" x14ac:dyDescent="0.2">
      <c r="A83" s="207" t="s">
        <v>74</v>
      </c>
      <c r="B83" s="207"/>
      <c r="C83" s="160"/>
      <c r="D83" s="161">
        <f>SUM(D74:D82)</f>
        <v>0</v>
      </c>
    </row>
    <row r="86" spans="1:5" x14ac:dyDescent="0.2">
      <c r="A86" s="204" t="s">
        <v>75</v>
      </c>
      <c r="B86" s="204"/>
      <c r="C86" s="111" t="s">
        <v>23</v>
      </c>
      <c r="D86" s="111" t="s">
        <v>24</v>
      </c>
    </row>
    <row r="87" spans="1:5" x14ac:dyDescent="0.2">
      <c r="A87" s="205">
        <v>20</v>
      </c>
      <c r="B87" s="197" t="s">
        <v>95</v>
      </c>
      <c r="C87" s="199"/>
      <c r="D87" s="199"/>
    </row>
    <row r="88" spans="1:5" x14ac:dyDescent="0.2">
      <c r="A88" s="205"/>
      <c r="B88" s="197"/>
      <c r="C88" s="199"/>
      <c r="D88" s="199"/>
    </row>
    <row r="91" spans="1:5" x14ac:dyDescent="0.2">
      <c r="A91" s="204" t="s">
        <v>76</v>
      </c>
      <c r="B91" s="204"/>
      <c r="C91" s="204"/>
      <c r="D91" s="123"/>
    </row>
    <row r="92" spans="1:5" x14ac:dyDescent="0.2">
      <c r="A92" s="205">
        <v>21</v>
      </c>
      <c r="B92" s="217" t="s">
        <v>77</v>
      </c>
      <c r="C92" s="217"/>
      <c r="D92" s="199"/>
    </row>
    <row r="93" spans="1:5" x14ac:dyDescent="0.2">
      <c r="A93" s="205"/>
      <c r="B93" s="218" t="s">
        <v>78</v>
      </c>
      <c r="C93" s="218"/>
      <c r="D93" s="199"/>
    </row>
    <row r="94" spans="1:5" x14ac:dyDescent="0.2">
      <c r="A94" s="219" t="s">
        <v>79</v>
      </c>
      <c r="B94" s="219"/>
      <c r="C94" s="111" t="s">
        <v>23</v>
      </c>
      <c r="D94" s="111" t="s">
        <v>24</v>
      </c>
    </row>
    <row r="95" spans="1:5" ht="15" customHeight="1" x14ac:dyDescent="0.2">
      <c r="A95" s="219"/>
      <c r="B95" s="219"/>
      <c r="C95" s="123"/>
      <c r="D95" s="124">
        <f>D83+D70+D50</f>
        <v>0</v>
      </c>
    </row>
    <row r="98" spans="1:4" x14ac:dyDescent="0.2">
      <c r="A98" s="204" t="s">
        <v>80</v>
      </c>
      <c r="B98" s="204"/>
      <c r="C98" s="204"/>
      <c r="D98" s="204"/>
    </row>
    <row r="99" spans="1:4" x14ac:dyDescent="0.2">
      <c r="A99" s="205" t="s">
        <v>81</v>
      </c>
      <c r="B99" s="205"/>
      <c r="C99" s="205"/>
      <c r="D99" s="205"/>
    </row>
    <row r="100" spans="1:4" x14ac:dyDescent="0.2">
      <c r="A100" s="205" t="s">
        <v>82</v>
      </c>
      <c r="B100" s="205"/>
      <c r="C100" s="205"/>
      <c r="D100" s="167" t="s">
        <v>24</v>
      </c>
    </row>
    <row r="101" spans="1:4" x14ac:dyDescent="0.2">
      <c r="A101" s="227" t="s">
        <v>34</v>
      </c>
      <c r="B101" s="227"/>
      <c r="C101" s="227"/>
      <c r="D101" s="168"/>
    </row>
    <row r="102" spans="1:4" ht="15.75" customHeight="1" x14ac:dyDescent="0.2">
      <c r="A102" s="227" t="s">
        <v>83</v>
      </c>
      <c r="B102" s="227"/>
      <c r="C102" s="227"/>
      <c r="D102" s="168"/>
    </row>
    <row r="103" spans="1:4" ht="15.75" customHeight="1" x14ac:dyDescent="0.2">
      <c r="A103" s="227" t="s">
        <v>84</v>
      </c>
      <c r="B103" s="227"/>
      <c r="C103" s="227"/>
      <c r="D103" s="169">
        <f>D95+D29+D19+D36</f>
        <v>4078.2241666666669</v>
      </c>
    </row>
    <row r="105" spans="1:4" x14ac:dyDescent="0.2">
      <c r="A105" s="222" t="s">
        <v>85</v>
      </c>
      <c r="B105" s="222"/>
    </row>
    <row r="107" spans="1:4" x14ac:dyDescent="0.2">
      <c r="A107" s="223" t="s">
        <v>86</v>
      </c>
      <c r="B107" s="223"/>
      <c r="C107" s="111" t="s">
        <v>23</v>
      </c>
      <c r="D107" s="111" t="s">
        <v>24</v>
      </c>
    </row>
    <row r="108" spans="1:4" ht="22.5" customHeight="1" x14ac:dyDescent="0.2">
      <c r="A108" s="224" t="s">
        <v>87</v>
      </c>
      <c r="B108" s="224"/>
      <c r="C108" s="231">
        <v>0.05</v>
      </c>
      <c r="D108" s="238">
        <f>($D$103+$D$83+$D$70+$D$50+$D$36+$D$25+$D$24+$D$23+$D$22+$D$13+$D$11)*C108</f>
        <v>407.8224166666667</v>
      </c>
    </row>
    <row r="109" spans="1:4" x14ac:dyDescent="0.2">
      <c r="A109" s="225" t="s">
        <v>88</v>
      </c>
      <c r="B109" s="225"/>
      <c r="C109" s="232"/>
      <c r="D109" s="238"/>
    </row>
    <row r="110" spans="1:4" x14ac:dyDescent="0.2">
      <c r="A110" s="224" t="s">
        <v>89</v>
      </c>
      <c r="B110" s="224"/>
      <c r="C110" s="232"/>
      <c r="D110" s="238"/>
    </row>
    <row r="111" spans="1:4" ht="22.5" customHeight="1" x14ac:dyDescent="0.2">
      <c r="A111" s="226" t="s">
        <v>87</v>
      </c>
      <c r="B111" s="226"/>
      <c r="C111" s="233"/>
      <c r="D111" s="199"/>
    </row>
    <row r="112" spans="1:4" x14ac:dyDescent="0.2">
      <c r="A112" s="225" t="s">
        <v>88</v>
      </c>
      <c r="B112" s="225"/>
      <c r="C112" s="199"/>
      <c r="D112" s="199"/>
    </row>
    <row r="113" spans="1:4" x14ac:dyDescent="0.2">
      <c r="A113" s="224" t="s">
        <v>89</v>
      </c>
      <c r="B113" s="224"/>
      <c r="C113" s="199"/>
      <c r="D113" s="199"/>
    </row>
    <row r="114" spans="1:4" ht="24" customHeight="1" x14ac:dyDescent="0.2">
      <c r="A114" s="206" t="s">
        <v>7</v>
      </c>
      <c r="B114" s="197" t="s">
        <v>203</v>
      </c>
      <c r="C114" s="262">
        <v>0.02</v>
      </c>
      <c r="D114" s="263">
        <f>(D103)*C114</f>
        <v>81.564483333333342</v>
      </c>
    </row>
    <row r="115" spans="1:4" x14ac:dyDescent="0.2">
      <c r="A115" s="206"/>
      <c r="B115" s="197"/>
      <c r="C115" s="259"/>
      <c r="D115" s="259"/>
    </row>
    <row r="116" spans="1:4" x14ac:dyDescent="0.2">
      <c r="A116" s="225" t="s">
        <v>92</v>
      </c>
      <c r="B116" s="225"/>
      <c r="C116" s="260"/>
      <c r="D116" s="261"/>
    </row>
    <row r="117" spans="1:4" x14ac:dyDescent="0.2">
      <c r="A117" s="225" t="s">
        <v>94</v>
      </c>
      <c r="B117" s="225"/>
      <c r="C117" s="261"/>
      <c r="D117" s="261"/>
    </row>
    <row r="118" spans="1:4" x14ac:dyDescent="0.2">
      <c r="A118" s="239" t="s">
        <v>93</v>
      </c>
      <c r="B118" s="239"/>
      <c r="C118" s="261"/>
      <c r="D118" s="261"/>
    </row>
    <row r="119" spans="1:4" x14ac:dyDescent="0.2">
      <c r="A119" s="95" t="s">
        <v>9</v>
      </c>
      <c r="B119" s="96" t="s">
        <v>90</v>
      </c>
      <c r="C119" s="170">
        <v>0.1</v>
      </c>
      <c r="D119" s="171">
        <f>(D103*C119)</f>
        <v>407.8224166666667</v>
      </c>
    </row>
    <row r="120" spans="1:4" x14ac:dyDescent="0.2">
      <c r="A120" s="240" t="s">
        <v>91</v>
      </c>
      <c r="B120" s="240"/>
      <c r="C120" s="160"/>
      <c r="D120" s="172">
        <f>D119+D114</f>
        <v>489.38690000000003</v>
      </c>
    </row>
    <row r="122" spans="1:4" x14ac:dyDescent="0.2">
      <c r="A122" s="222" t="s">
        <v>98</v>
      </c>
      <c r="B122" s="222"/>
    </row>
    <row r="124" spans="1:4" ht="15" customHeight="1" x14ac:dyDescent="0.2">
      <c r="A124" s="206" t="s">
        <v>110</v>
      </c>
      <c r="B124" s="206"/>
      <c r="C124" s="206"/>
      <c r="D124" s="206"/>
    </row>
    <row r="125" spans="1:4" ht="24" customHeight="1" x14ac:dyDescent="0.2">
      <c r="A125" s="206"/>
      <c r="B125" s="206"/>
      <c r="C125" s="206"/>
      <c r="D125" s="206"/>
    </row>
    <row r="126" spans="1:4" ht="15.75" customHeight="1" x14ac:dyDescent="0.2">
      <c r="A126" s="206" t="s">
        <v>99</v>
      </c>
      <c r="B126" s="206"/>
      <c r="C126" s="94" t="s">
        <v>23</v>
      </c>
      <c r="D126" s="131" t="s">
        <v>24</v>
      </c>
    </row>
    <row r="127" spans="1:4" x14ac:dyDescent="0.2">
      <c r="A127" s="101"/>
      <c r="B127" s="132" t="s">
        <v>101</v>
      </c>
      <c r="C127" s="170">
        <v>0.03</v>
      </c>
      <c r="D127" s="133">
        <f>($D$120+$D$103)*C127</f>
        <v>137.02833200000001</v>
      </c>
    </row>
    <row r="128" spans="1:4" x14ac:dyDescent="0.2">
      <c r="A128" s="134" t="s">
        <v>7</v>
      </c>
      <c r="B128" s="135" t="s">
        <v>102</v>
      </c>
      <c r="C128" s="136">
        <v>6.4999999999999997E-3</v>
      </c>
      <c r="D128" s="133">
        <f>($D$120+$D$103)*C128</f>
        <v>29.689471933333337</v>
      </c>
    </row>
    <row r="129" spans="1:4" ht="23.25" customHeight="1" x14ac:dyDescent="0.2">
      <c r="A129" s="137" t="s">
        <v>100</v>
      </c>
      <c r="B129" s="206" t="s">
        <v>109</v>
      </c>
      <c r="C129" s="258">
        <v>1.4999999999999999E-2</v>
      </c>
      <c r="D129" s="230">
        <f>(D120+D103)*C129</f>
        <v>68.514166000000003</v>
      </c>
    </row>
    <row r="130" spans="1:4" ht="12.75" customHeight="1" x14ac:dyDescent="0.2">
      <c r="A130" s="173"/>
      <c r="B130" s="206"/>
      <c r="C130" s="259"/>
      <c r="D130" s="230"/>
    </row>
    <row r="131" spans="1:4" ht="15.75" customHeight="1" x14ac:dyDescent="0.2">
      <c r="A131" s="139" t="s">
        <v>9</v>
      </c>
      <c r="B131" s="96" t="s">
        <v>104</v>
      </c>
      <c r="C131" s="170"/>
      <c r="D131" s="41"/>
    </row>
    <row r="132" spans="1:4" ht="26.25" customHeight="1" x14ac:dyDescent="0.2">
      <c r="A132" s="137" t="s">
        <v>103</v>
      </c>
      <c r="B132" s="96" t="s">
        <v>105</v>
      </c>
      <c r="C132" s="170">
        <v>0.05</v>
      </c>
      <c r="D132" s="133">
        <f>($D$120+$D$103)*C132</f>
        <v>228.38055333333338</v>
      </c>
    </row>
    <row r="133" spans="1:4" x14ac:dyDescent="0.2">
      <c r="A133" s="94" t="s">
        <v>11</v>
      </c>
      <c r="B133" s="140" t="s">
        <v>106</v>
      </c>
      <c r="C133" s="160"/>
      <c r="D133" s="41"/>
    </row>
    <row r="134" spans="1:4" ht="15.75" customHeight="1" x14ac:dyDescent="0.2">
      <c r="A134" s="248" t="s">
        <v>107</v>
      </c>
      <c r="B134" s="249"/>
      <c r="C134" s="141">
        <f>D134/(D120+D103)</f>
        <v>0.10149999999999999</v>
      </c>
      <c r="D134" s="142">
        <f>SUM(D127:D133)</f>
        <v>463.6125232666667</v>
      </c>
    </row>
    <row r="135" spans="1:4" ht="15.75" customHeight="1" x14ac:dyDescent="0.2">
      <c r="A135" s="206" t="s">
        <v>108</v>
      </c>
      <c r="B135" s="143" t="s">
        <v>111</v>
      </c>
      <c r="C135" s="247"/>
      <c r="D135" s="247"/>
    </row>
    <row r="136" spans="1:4" x14ac:dyDescent="0.2">
      <c r="A136" s="206"/>
      <c r="B136" s="174" t="s">
        <v>112</v>
      </c>
      <c r="C136" s="247"/>
      <c r="D136" s="247"/>
    </row>
    <row r="139" spans="1:4" x14ac:dyDescent="0.2">
      <c r="A139" s="175" t="s">
        <v>235</v>
      </c>
      <c r="B139" s="176"/>
      <c r="C139" s="176"/>
      <c r="D139" s="176"/>
    </row>
    <row r="140" spans="1:4" x14ac:dyDescent="0.2">
      <c r="A140" s="175"/>
      <c r="B140" s="176"/>
      <c r="C140" s="176"/>
      <c r="D140" s="176"/>
    </row>
    <row r="141" spans="1:4" x14ac:dyDescent="0.2">
      <c r="A141" s="95" t="s">
        <v>114</v>
      </c>
      <c r="B141" s="250" t="s">
        <v>115</v>
      </c>
      <c r="C141" s="250"/>
      <c r="D141" s="147" t="s">
        <v>116</v>
      </c>
    </row>
    <row r="142" spans="1:4" x14ac:dyDescent="0.2">
      <c r="A142" s="95" t="s">
        <v>7</v>
      </c>
      <c r="B142" s="96" t="s">
        <v>117</v>
      </c>
      <c r="C142" s="41"/>
      <c r="D142" s="148">
        <f>D19+D29</f>
        <v>4000</v>
      </c>
    </row>
    <row r="143" spans="1:4" x14ac:dyDescent="0.2">
      <c r="A143" s="95" t="s">
        <v>9</v>
      </c>
      <c r="B143" s="96" t="s">
        <v>118</v>
      </c>
      <c r="C143" s="96" t="s">
        <v>23</v>
      </c>
      <c r="D143" s="148">
        <f>D95</f>
        <v>0</v>
      </c>
    </row>
    <row r="144" spans="1:4" x14ac:dyDescent="0.2">
      <c r="A144" s="95" t="s">
        <v>11</v>
      </c>
      <c r="B144" s="96" t="s">
        <v>119</v>
      </c>
      <c r="C144" s="41"/>
      <c r="D144" s="148">
        <f>D36</f>
        <v>78.224166666666662</v>
      </c>
    </row>
    <row r="145" spans="1:4" x14ac:dyDescent="0.2">
      <c r="A145" s="95" t="s">
        <v>13</v>
      </c>
      <c r="B145" s="96" t="s">
        <v>120</v>
      </c>
      <c r="C145" s="41"/>
      <c r="D145" s="148">
        <f>SUM(D142:D144)</f>
        <v>4078.2241666666669</v>
      </c>
    </row>
    <row r="146" spans="1:4" x14ac:dyDescent="0.2">
      <c r="A146" s="41"/>
      <c r="B146" s="96" t="s">
        <v>121</v>
      </c>
      <c r="C146" s="41"/>
      <c r="D146" s="149">
        <f>D145+D134</f>
        <v>4541.8366899333332</v>
      </c>
    </row>
    <row r="147" spans="1:4" x14ac:dyDescent="0.2">
      <c r="A147" s="150"/>
      <c r="B147" s="176"/>
      <c r="C147" s="176"/>
      <c r="D147" s="176"/>
    </row>
    <row r="148" spans="1:4" ht="57.75" customHeight="1" x14ac:dyDescent="0.2">
      <c r="A148" s="257" t="s">
        <v>236</v>
      </c>
      <c r="B148" s="257"/>
      <c r="C148" s="257"/>
      <c r="D148" s="257"/>
    </row>
    <row r="149" spans="1:4" ht="46.5" customHeight="1" x14ac:dyDescent="0.2">
      <c r="A149" s="255" t="s">
        <v>237</v>
      </c>
      <c r="B149" s="255"/>
      <c r="C149" s="255"/>
      <c r="D149" s="255"/>
    </row>
    <row r="150" spans="1:4" ht="76.5" customHeight="1" x14ac:dyDescent="0.2">
      <c r="A150" s="256" t="s">
        <v>238</v>
      </c>
      <c r="B150" s="256"/>
      <c r="C150" s="256"/>
      <c r="D150" s="256"/>
    </row>
    <row r="153" spans="1:4" x14ac:dyDescent="0.2">
      <c r="A153" s="151" t="s">
        <v>125</v>
      </c>
      <c r="B153" s="176"/>
      <c r="C153" s="176"/>
    </row>
    <row r="154" spans="1:4" x14ac:dyDescent="0.2">
      <c r="A154" s="150"/>
      <c r="B154" s="176"/>
      <c r="C154" s="176"/>
    </row>
    <row r="155" spans="1:4" ht="15" customHeight="1" x14ac:dyDescent="0.2">
      <c r="A155" s="241" t="s">
        <v>126</v>
      </c>
      <c r="B155" s="242"/>
      <c r="C155" s="243"/>
      <c r="D155" s="41"/>
    </row>
    <row r="156" spans="1:4" x14ac:dyDescent="0.2">
      <c r="A156" s="41"/>
      <c r="B156" s="241" t="s">
        <v>127</v>
      </c>
      <c r="C156" s="243"/>
      <c r="D156" s="152" t="s">
        <v>128</v>
      </c>
    </row>
    <row r="157" spans="1:4" x14ac:dyDescent="0.2">
      <c r="A157" s="95" t="s">
        <v>7</v>
      </c>
      <c r="B157" s="245" t="s">
        <v>129</v>
      </c>
      <c r="C157" s="246"/>
      <c r="D157" s="148">
        <f>D142</f>
        <v>4000</v>
      </c>
    </row>
    <row r="158" spans="1:4" x14ac:dyDescent="0.2">
      <c r="A158" s="95" t="s">
        <v>9</v>
      </c>
      <c r="B158" s="245" t="s">
        <v>130</v>
      </c>
      <c r="C158" s="246"/>
      <c r="D158" s="148">
        <f>D144</f>
        <v>78.224166666666662</v>
      </c>
    </row>
    <row r="159" spans="1:4" x14ac:dyDescent="0.2">
      <c r="A159" s="95" t="s">
        <v>11</v>
      </c>
      <c r="B159" s="245" t="s">
        <v>131</v>
      </c>
      <c r="C159" s="246"/>
      <c r="D159" s="133">
        <f>D134</f>
        <v>463.6125232666667</v>
      </c>
    </row>
    <row r="160" spans="1:4" x14ac:dyDescent="0.2">
      <c r="A160" s="95" t="s">
        <v>13</v>
      </c>
      <c r="B160" s="245" t="s">
        <v>99</v>
      </c>
      <c r="C160" s="246"/>
      <c r="D160" s="148">
        <f>D143</f>
        <v>0</v>
      </c>
    </row>
    <row r="161" spans="1:4" x14ac:dyDescent="0.2">
      <c r="A161" s="95" t="s">
        <v>15</v>
      </c>
      <c r="B161" s="245" t="s">
        <v>132</v>
      </c>
      <c r="C161" s="246"/>
      <c r="D161" s="148">
        <f>SUM(D157:D160)</f>
        <v>4541.8366899333332</v>
      </c>
    </row>
    <row r="162" spans="1:4" ht="24" customHeight="1" x14ac:dyDescent="0.2">
      <c r="A162" s="95" t="s">
        <v>17</v>
      </c>
      <c r="B162" s="245" t="s">
        <v>133</v>
      </c>
      <c r="C162" s="246"/>
      <c r="D162" s="148">
        <f>D161/211200</f>
        <v>2.15049085697601E-2</v>
      </c>
    </row>
    <row r="163" spans="1:4" x14ac:dyDescent="0.2">
      <c r="A163" s="95" t="s">
        <v>19</v>
      </c>
      <c r="B163" s="245" t="s">
        <v>134</v>
      </c>
      <c r="C163" s="246"/>
      <c r="D163" s="153">
        <v>8490</v>
      </c>
    </row>
    <row r="164" spans="1:4" ht="24" customHeight="1" x14ac:dyDescent="0.2">
      <c r="A164" s="95" t="s">
        <v>21</v>
      </c>
      <c r="B164" s="245" t="s">
        <v>135</v>
      </c>
      <c r="C164" s="246"/>
      <c r="D164" s="154">
        <f>(D163*D162)/2340</f>
        <v>7.8024219554386001E-2</v>
      </c>
    </row>
    <row r="167" spans="1:4" ht="15.75" customHeight="1" x14ac:dyDescent="0.2">
      <c r="A167" s="254" t="s">
        <v>226</v>
      </c>
      <c r="B167" s="254"/>
      <c r="C167" s="254"/>
      <c r="D167" s="254"/>
    </row>
    <row r="168" spans="1:4" ht="30" customHeight="1" x14ac:dyDescent="0.2">
      <c r="A168" s="254"/>
      <c r="B168" s="254"/>
      <c r="C168" s="254"/>
      <c r="D168" s="254"/>
    </row>
    <row r="170" spans="1:4" ht="31.5" customHeight="1" x14ac:dyDescent="0.2">
      <c r="A170" s="253"/>
      <c r="B170" s="253"/>
      <c r="C170" s="253"/>
      <c r="D170" s="253"/>
    </row>
    <row r="171" spans="1:4" ht="33.75" customHeight="1" x14ac:dyDescent="0.2">
      <c r="A171" s="253"/>
      <c r="B171" s="253"/>
      <c r="C171" s="253"/>
      <c r="D171" s="253"/>
    </row>
    <row r="172" spans="1:4" ht="33" customHeight="1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</sheetData>
  <mergeCells count="138">
    <mergeCell ref="A1:B1"/>
    <mergeCell ref="A2:C2"/>
    <mergeCell ref="B3:C3"/>
    <mergeCell ref="A4:C4"/>
    <mergeCell ref="A5:C5"/>
    <mergeCell ref="A6:C6"/>
    <mergeCell ref="B25:C25"/>
    <mergeCell ref="B26:C26"/>
    <mergeCell ref="B27:C27"/>
    <mergeCell ref="B28:C28"/>
    <mergeCell ref="A31:C31"/>
    <mergeCell ref="B32:C32"/>
    <mergeCell ref="A8:D8"/>
    <mergeCell ref="A10:B10"/>
    <mergeCell ref="A21:C21"/>
    <mergeCell ref="B22:C22"/>
    <mergeCell ref="B23:C23"/>
    <mergeCell ref="B24:C24"/>
    <mergeCell ref="B33:C33"/>
    <mergeCell ref="B34:C34"/>
    <mergeCell ref="B35:C35"/>
    <mergeCell ref="A36:C36"/>
    <mergeCell ref="A37:D37"/>
    <mergeCell ref="A40:B40"/>
    <mergeCell ref="C40:C41"/>
    <mergeCell ref="D40:D41"/>
    <mergeCell ref="A41:B41"/>
    <mergeCell ref="A58:A59"/>
    <mergeCell ref="C58:C59"/>
    <mergeCell ref="D58:D59"/>
    <mergeCell ref="A60:A61"/>
    <mergeCell ref="C60:C61"/>
    <mergeCell ref="D60:D61"/>
    <mergeCell ref="A50:B50"/>
    <mergeCell ref="A53:B53"/>
    <mergeCell ref="A54:A55"/>
    <mergeCell ref="C54:C55"/>
    <mergeCell ref="D54:D55"/>
    <mergeCell ref="A56:A57"/>
    <mergeCell ref="C56:C57"/>
    <mergeCell ref="D56:D57"/>
    <mergeCell ref="A66:A67"/>
    <mergeCell ref="C66:C67"/>
    <mergeCell ref="D66:D67"/>
    <mergeCell ref="A68:A69"/>
    <mergeCell ref="C68:C69"/>
    <mergeCell ref="D68:D69"/>
    <mergeCell ref="A62:A63"/>
    <mergeCell ref="C62:C63"/>
    <mergeCell ref="D62:D63"/>
    <mergeCell ref="A64:A65"/>
    <mergeCell ref="C64:C65"/>
    <mergeCell ref="D64:D65"/>
    <mergeCell ref="A79:A82"/>
    <mergeCell ref="B79:B80"/>
    <mergeCell ref="C79:C80"/>
    <mergeCell ref="D79:D80"/>
    <mergeCell ref="B81:B82"/>
    <mergeCell ref="C81:C82"/>
    <mergeCell ref="D81:D82"/>
    <mergeCell ref="A70:B70"/>
    <mergeCell ref="A73:B73"/>
    <mergeCell ref="A74:A75"/>
    <mergeCell ref="C74:C75"/>
    <mergeCell ref="D74:D75"/>
    <mergeCell ref="A76:A77"/>
    <mergeCell ref="C76:C77"/>
    <mergeCell ref="D76:D77"/>
    <mergeCell ref="A91:C91"/>
    <mergeCell ref="A92:A93"/>
    <mergeCell ref="B92:C92"/>
    <mergeCell ref="D92:D93"/>
    <mergeCell ref="B93:C93"/>
    <mergeCell ref="A94:B95"/>
    <mergeCell ref="A83:B83"/>
    <mergeCell ref="A86:B86"/>
    <mergeCell ref="A87:A88"/>
    <mergeCell ref="B87:B88"/>
    <mergeCell ref="C87:C88"/>
    <mergeCell ref="D87:D88"/>
    <mergeCell ref="A105:B105"/>
    <mergeCell ref="A107:B107"/>
    <mergeCell ref="A108:B108"/>
    <mergeCell ref="C108:C110"/>
    <mergeCell ref="D108:D110"/>
    <mergeCell ref="A109:B109"/>
    <mergeCell ref="A110:B110"/>
    <mergeCell ref="A98:D98"/>
    <mergeCell ref="A99:D99"/>
    <mergeCell ref="A100:C100"/>
    <mergeCell ref="A101:C101"/>
    <mergeCell ref="A102:C102"/>
    <mergeCell ref="A103:C103"/>
    <mergeCell ref="A111:B111"/>
    <mergeCell ref="C111:C113"/>
    <mergeCell ref="D111:D113"/>
    <mergeCell ref="A112:B112"/>
    <mergeCell ref="A113:B113"/>
    <mergeCell ref="A114:A115"/>
    <mergeCell ref="B114:B115"/>
    <mergeCell ref="C114:C115"/>
    <mergeCell ref="D114:D115"/>
    <mergeCell ref="A122:B122"/>
    <mergeCell ref="A124:C125"/>
    <mergeCell ref="D124:D125"/>
    <mergeCell ref="A126:B126"/>
    <mergeCell ref="B129:B130"/>
    <mergeCell ref="C129:C130"/>
    <mergeCell ref="D129:D130"/>
    <mergeCell ref="A116:B116"/>
    <mergeCell ref="C116:C118"/>
    <mergeCell ref="D116:D118"/>
    <mergeCell ref="A117:B117"/>
    <mergeCell ref="A118:B118"/>
    <mergeCell ref="A120:B120"/>
    <mergeCell ref="A149:D149"/>
    <mergeCell ref="A150:D150"/>
    <mergeCell ref="A155:C155"/>
    <mergeCell ref="B156:C156"/>
    <mergeCell ref="B157:C157"/>
    <mergeCell ref="B158:C158"/>
    <mergeCell ref="A134:B134"/>
    <mergeCell ref="A135:A136"/>
    <mergeCell ref="C135:C136"/>
    <mergeCell ref="D135:D136"/>
    <mergeCell ref="B141:C141"/>
    <mergeCell ref="A148:D148"/>
    <mergeCell ref="A167:D168"/>
    <mergeCell ref="A170:D170"/>
    <mergeCell ref="A171:D171"/>
    <mergeCell ref="A172:D172"/>
    <mergeCell ref="A173:D174"/>
    <mergeCell ref="B159:C159"/>
    <mergeCell ref="B160:C160"/>
    <mergeCell ref="B161:C161"/>
    <mergeCell ref="B162:C162"/>
    <mergeCell ref="B163:C163"/>
    <mergeCell ref="B164:C16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4"/>
  <sheetViews>
    <sheetView zoomScale="140" zoomScaleNormal="140" workbookViewId="0">
      <selection activeCell="A170" sqref="A170:D174"/>
    </sheetView>
  </sheetViews>
  <sheetFormatPr defaultRowHeight="11.25" x14ac:dyDescent="0.2"/>
  <cols>
    <col min="1" max="1" width="21.42578125" style="155" customWidth="1"/>
    <col min="2" max="2" width="40.42578125" style="155" customWidth="1"/>
    <col min="3" max="3" width="9.85546875" style="155" customWidth="1"/>
    <col min="4" max="4" width="14" style="156" bestFit="1" customWidth="1"/>
    <col min="5" max="5" width="9.140625" style="155"/>
    <col min="6" max="6" width="13.28515625" style="155" bestFit="1" customWidth="1"/>
    <col min="7" max="16384" width="9.140625" style="155"/>
  </cols>
  <sheetData>
    <row r="1" spans="1:4" x14ac:dyDescent="0.2">
      <c r="A1" s="264" t="s">
        <v>4</v>
      </c>
      <c r="B1" s="264"/>
    </row>
    <row r="2" spans="1:4" x14ac:dyDescent="0.2">
      <c r="A2" s="265"/>
      <c r="B2" s="265"/>
      <c r="C2" s="265"/>
    </row>
    <row r="3" spans="1:4" x14ac:dyDescent="0.2">
      <c r="A3" s="157"/>
      <c r="B3" s="266" t="s">
        <v>242</v>
      </c>
      <c r="C3" s="267"/>
      <c r="D3" s="158"/>
    </row>
    <row r="4" spans="1:4" x14ac:dyDescent="0.2">
      <c r="A4" s="196" t="s">
        <v>0</v>
      </c>
      <c r="B4" s="197"/>
      <c r="C4" s="197"/>
      <c r="D4" s="158"/>
    </row>
    <row r="5" spans="1:4" x14ac:dyDescent="0.2">
      <c r="A5" s="197" t="s">
        <v>1</v>
      </c>
      <c r="B5" s="197"/>
      <c r="C5" s="197"/>
      <c r="D5" s="158"/>
    </row>
    <row r="6" spans="1:4" x14ac:dyDescent="0.2">
      <c r="A6" s="197" t="s">
        <v>2</v>
      </c>
      <c r="B6" s="197"/>
      <c r="C6" s="197"/>
      <c r="D6" s="158"/>
    </row>
    <row r="8" spans="1:4" x14ac:dyDescent="0.2">
      <c r="A8" s="194" t="s">
        <v>5</v>
      </c>
      <c r="B8" s="194"/>
      <c r="C8" s="194"/>
      <c r="D8" s="194"/>
    </row>
    <row r="9" spans="1:4" x14ac:dyDescent="0.2">
      <c r="A9" s="93"/>
      <c r="B9" s="93"/>
      <c r="C9" s="93"/>
      <c r="D9" s="93"/>
    </row>
    <row r="10" spans="1:4" x14ac:dyDescent="0.2">
      <c r="A10" s="195" t="s">
        <v>6</v>
      </c>
      <c r="B10" s="195"/>
      <c r="C10" s="94" t="s">
        <v>23</v>
      </c>
      <c r="D10" s="94" t="s">
        <v>24</v>
      </c>
    </row>
    <row r="11" spans="1:4" x14ac:dyDescent="0.2">
      <c r="A11" s="95" t="s">
        <v>7</v>
      </c>
      <c r="B11" s="96" t="s">
        <v>8</v>
      </c>
      <c r="C11" s="87"/>
      <c r="D11" s="178">
        <v>1652.7</v>
      </c>
    </row>
    <row r="12" spans="1:4" x14ac:dyDescent="0.2">
      <c r="A12" s="95" t="s">
        <v>9</v>
      </c>
      <c r="B12" s="96" t="s">
        <v>10</v>
      </c>
      <c r="C12" s="87"/>
      <c r="D12" s="97"/>
    </row>
    <row r="13" spans="1:4" x14ac:dyDescent="0.2">
      <c r="A13" s="95" t="s">
        <v>11</v>
      </c>
      <c r="B13" s="96" t="s">
        <v>12</v>
      </c>
      <c r="C13" s="87"/>
      <c r="D13" s="97"/>
    </row>
    <row r="14" spans="1:4" x14ac:dyDescent="0.2">
      <c r="A14" s="95" t="s">
        <v>13</v>
      </c>
      <c r="B14" s="96" t="s">
        <v>14</v>
      </c>
      <c r="C14" s="98"/>
      <c r="D14" s="97"/>
    </row>
    <row r="15" spans="1:4" x14ac:dyDescent="0.2">
      <c r="A15" s="95" t="s">
        <v>15</v>
      </c>
      <c r="B15" s="96" t="s">
        <v>16</v>
      </c>
      <c r="C15" s="87"/>
      <c r="D15" s="97"/>
    </row>
    <row r="16" spans="1:4" x14ac:dyDescent="0.2">
      <c r="A16" s="95" t="s">
        <v>17</v>
      </c>
      <c r="B16" s="96" t="s">
        <v>18</v>
      </c>
      <c r="C16" s="87"/>
      <c r="D16" s="97"/>
    </row>
    <row r="17" spans="1:5" x14ac:dyDescent="0.2">
      <c r="A17" s="95" t="s">
        <v>19</v>
      </c>
      <c r="B17" s="96" t="s">
        <v>20</v>
      </c>
      <c r="C17" s="87"/>
      <c r="D17" s="97"/>
    </row>
    <row r="18" spans="1:5" x14ac:dyDescent="0.2">
      <c r="A18" s="95" t="s">
        <v>21</v>
      </c>
      <c r="B18" s="96" t="s">
        <v>244</v>
      </c>
      <c r="C18" s="87"/>
      <c r="D18" s="97">
        <v>46</v>
      </c>
    </row>
    <row r="19" spans="1:5" x14ac:dyDescent="0.2">
      <c r="A19" s="95"/>
      <c r="B19" s="96" t="s">
        <v>211</v>
      </c>
      <c r="C19" s="87"/>
      <c r="D19" s="99">
        <f>SUM(D11:D18)</f>
        <v>1698.7</v>
      </c>
    </row>
    <row r="21" spans="1:5" x14ac:dyDescent="0.2">
      <c r="A21" s="195" t="s">
        <v>25</v>
      </c>
      <c r="B21" s="195"/>
      <c r="C21" s="195"/>
      <c r="D21" s="94" t="s">
        <v>24</v>
      </c>
      <c r="E21" s="100"/>
    </row>
    <row r="22" spans="1:5" x14ac:dyDescent="0.2">
      <c r="A22" s="95" t="s">
        <v>7</v>
      </c>
      <c r="B22" s="197" t="s">
        <v>26</v>
      </c>
      <c r="C22" s="197"/>
      <c r="D22" s="178">
        <v>164</v>
      </c>
      <c r="E22" s="101"/>
    </row>
    <row r="23" spans="1:5" x14ac:dyDescent="0.2">
      <c r="A23" s="95" t="s">
        <v>9</v>
      </c>
      <c r="B23" s="197" t="s">
        <v>27</v>
      </c>
      <c r="C23" s="197"/>
      <c r="D23" s="178">
        <v>300</v>
      </c>
      <c r="E23" s="101"/>
    </row>
    <row r="24" spans="1:5" x14ac:dyDescent="0.2">
      <c r="A24" s="95" t="s">
        <v>11</v>
      </c>
      <c r="B24" s="197" t="s">
        <v>210</v>
      </c>
      <c r="C24" s="197"/>
      <c r="D24" s="97"/>
      <c r="E24" s="101"/>
    </row>
    <row r="25" spans="1:5" x14ac:dyDescent="0.2">
      <c r="A25" s="95" t="s">
        <v>13</v>
      </c>
      <c r="B25" s="197" t="s">
        <v>209</v>
      </c>
      <c r="C25" s="197"/>
      <c r="D25" s="97"/>
      <c r="E25" s="101"/>
    </row>
    <row r="26" spans="1:5" x14ac:dyDescent="0.2">
      <c r="A26" s="95" t="s">
        <v>15</v>
      </c>
      <c r="B26" s="197" t="s">
        <v>30</v>
      </c>
      <c r="C26" s="197"/>
      <c r="D26" s="97"/>
      <c r="E26" s="101"/>
    </row>
    <row r="27" spans="1:5" x14ac:dyDescent="0.2">
      <c r="A27" s="95" t="s">
        <v>17</v>
      </c>
      <c r="B27" s="197" t="s">
        <v>31</v>
      </c>
      <c r="C27" s="197"/>
      <c r="D27" s="97"/>
      <c r="E27" s="101"/>
    </row>
    <row r="28" spans="1:5" x14ac:dyDescent="0.2">
      <c r="A28" s="95" t="s">
        <v>19</v>
      </c>
      <c r="B28" s="197" t="s">
        <v>22</v>
      </c>
      <c r="C28" s="197"/>
      <c r="D28" s="97"/>
      <c r="E28" s="101"/>
    </row>
    <row r="29" spans="1:5" x14ac:dyDescent="0.2">
      <c r="A29" s="95"/>
      <c r="B29" s="96" t="s">
        <v>211</v>
      </c>
      <c r="C29" s="87"/>
      <c r="D29" s="99">
        <f>SUM(D21:D28)</f>
        <v>464</v>
      </c>
    </row>
    <row r="31" spans="1:5" x14ac:dyDescent="0.2">
      <c r="A31" s="195" t="s">
        <v>32</v>
      </c>
      <c r="B31" s="195"/>
      <c r="C31" s="195"/>
      <c r="D31" s="94" t="s">
        <v>24</v>
      </c>
      <c r="E31" s="101"/>
    </row>
    <row r="32" spans="1:5" x14ac:dyDescent="0.2">
      <c r="A32" s="95" t="s">
        <v>7</v>
      </c>
      <c r="B32" s="197" t="s">
        <v>33</v>
      </c>
      <c r="C32" s="197"/>
      <c r="D32" s="97">
        <f>(129.92*3)/12</f>
        <v>32.479999999999997</v>
      </c>
      <c r="E32" s="101"/>
    </row>
    <row r="33" spans="1:9" x14ac:dyDescent="0.2">
      <c r="A33" s="95" t="s">
        <v>9</v>
      </c>
      <c r="B33" s="197" t="s">
        <v>34</v>
      </c>
      <c r="C33" s="197"/>
      <c r="D33" s="97"/>
      <c r="E33" s="101"/>
    </row>
    <row r="34" spans="1:9" x14ac:dyDescent="0.2">
      <c r="A34" s="95" t="s">
        <v>11</v>
      </c>
      <c r="B34" s="197" t="s">
        <v>35</v>
      </c>
      <c r="C34" s="197"/>
      <c r="D34" s="97"/>
      <c r="E34" s="101"/>
    </row>
    <row r="35" spans="1:9" x14ac:dyDescent="0.2">
      <c r="A35" s="95" t="s">
        <v>13</v>
      </c>
      <c r="B35" s="197" t="s">
        <v>36</v>
      </c>
      <c r="C35" s="197"/>
      <c r="D35" s="97">
        <f>10</f>
        <v>10</v>
      </c>
      <c r="E35" s="101"/>
    </row>
    <row r="36" spans="1:9" x14ac:dyDescent="0.2">
      <c r="A36" s="197" t="s">
        <v>37</v>
      </c>
      <c r="B36" s="197"/>
      <c r="C36" s="197"/>
      <c r="D36" s="102">
        <f>SUM(D32:D35)</f>
        <v>42.48</v>
      </c>
      <c r="E36" s="101"/>
    </row>
    <row r="37" spans="1:9" x14ac:dyDescent="0.2">
      <c r="A37" s="200" t="s">
        <v>38</v>
      </c>
      <c r="B37" s="200"/>
      <c r="C37" s="200"/>
      <c r="D37" s="200"/>
      <c r="E37" s="100"/>
    </row>
    <row r="38" spans="1:9" x14ac:dyDescent="0.2">
      <c r="A38" s="103"/>
      <c r="B38" s="103"/>
      <c r="C38" s="103"/>
      <c r="D38" s="104"/>
      <c r="E38" s="100"/>
    </row>
    <row r="40" spans="1:9" x14ac:dyDescent="0.2">
      <c r="A40" s="195" t="s">
        <v>39</v>
      </c>
      <c r="B40" s="195"/>
      <c r="C40" s="195" t="s">
        <v>23</v>
      </c>
      <c r="D40" s="195" t="s">
        <v>24</v>
      </c>
    </row>
    <row r="41" spans="1:9" x14ac:dyDescent="0.2">
      <c r="A41" s="195" t="s">
        <v>40</v>
      </c>
      <c r="B41" s="195"/>
      <c r="C41" s="195"/>
      <c r="D41" s="195"/>
    </row>
    <row r="42" spans="1:9" x14ac:dyDescent="0.2">
      <c r="A42" s="95">
        <v>1</v>
      </c>
      <c r="B42" s="96" t="s">
        <v>41</v>
      </c>
      <c r="C42" s="105">
        <v>0.09</v>
      </c>
      <c r="D42" s="179">
        <v>134.69999999999999</v>
      </c>
    </row>
    <row r="43" spans="1:9" x14ac:dyDescent="0.2">
      <c r="A43" s="95">
        <v>2</v>
      </c>
      <c r="B43" s="96" t="s">
        <v>42</v>
      </c>
      <c r="C43" s="41"/>
      <c r="D43" s="87"/>
    </row>
    <row r="44" spans="1:9" x14ac:dyDescent="0.2">
      <c r="A44" s="95">
        <v>3</v>
      </c>
      <c r="B44" s="96" t="s">
        <v>43</v>
      </c>
      <c r="C44" s="41"/>
      <c r="D44" s="87"/>
    </row>
    <row r="45" spans="1:9" x14ac:dyDescent="0.2">
      <c r="A45" s="95">
        <v>4</v>
      </c>
      <c r="B45" s="96" t="s">
        <v>44</v>
      </c>
      <c r="C45" s="41"/>
      <c r="D45" s="87"/>
    </row>
    <row r="46" spans="1:9" x14ac:dyDescent="0.2">
      <c r="A46" s="95">
        <v>5</v>
      </c>
      <c r="B46" s="96" t="s">
        <v>45</v>
      </c>
      <c r="C46" s="41"/>
      <c r="D46" s="87"/>
    </row>
    <row r="47" spans="1:9" x14ac:dyDescent="0.2">
      <c r="A47" s="95">
        <v>6</v>
      </c>
      <c r="B47" s="96" t="s">
        <v>46</v>
      </c>
      <c r="C47" s="107">
        <v>0.08</v>
      </c>
      <c r="D47" s="179">
        <v>135.88999999999999</v>
      </c>
      <c r="I47" s="159"/>
    </row>
    <row r="48" spans="1:9" x14ac:dyDescent="0.2">
      <c r="A48" s="95">
        <v>7</v>
      </c>
      <c r="B48" s="96" t="s">
        <v>47</v>
      </c>
      <c r="C48" s="41"/>
      <c r="D48" s="87"/>
    </row>
    <row r="49" spans="1:6" x14ac:dyDescent="0.2">
      <c r="A49" s="95">
        <v>8</v>
      </c>
      <c r="B49" s="96" t="s">
        <v>48</v>
      </c>
      <c r="C49" s="41"/>
      <c r="D49" s="87"/>
    </row>
    <row r="50" spans="1:6" x14ac:dyDescent="0.2">
      <c r="A50" s="207" t="s">
        <v>49</v>
      </c>
      <c r="B50" s="207"/>
      <c r="C50" s="160"/>
      <c r="D50" s="161">
        <f>SUM(D42:D49)</f>
        <v>270.58999999999997</v>
      </c>
    </row>
    <row r="51" spans="1:6" x14ac:dyDescent="0.2">
      <c r="A51" s="100"/>
      <c r="B51" s="100"/>
    </row>
    <row r="53" spans="1:6" x14ac:dyDescent="0.2">
      <c r="A53" s="204" t="s">
        <v>50</v>
      </c>
      <c r="B53" s="204"/>
      <c r="C53" s="94" t="s">
        <v>23</v>
      </c>
      <c r="D53" s="111" t="s">
        <v>24</v>
      </c>
    </row>
    <row r="54" spans="1:6" x14ac:dyDescent="0.2">
      <c r="A54" s="205">
        <v>9</v>
      </c>
      <c r="B54" s="112" t="s">
        <v>51</v>
      </c>
      <c r="C54" s="208">
        <v>0.111</v>
      </c>
      <c r="D54" s="198">
        <f>C54*($D$11+$D$13)</f>
        <v>183.44970000000001</v>
      </c>
    </row>
    <row r="55" spans="1:6" x14ac:dyDescent="0.2">
      <c r="A55" s="205"/>
      <c r="B55" s="113" t="s">
        <v>52</v>
      </c>
      <c r="C55" s="206"/>
      <c r="D55" s="199"/>
      <c r="E55" s="162"/>
      <c r="F55" s="163"/>
    </row>
    <row r="56" spans="1:6" x14ac:dyDescent="0.2">
      <c r="A56" s="206">
        <v>10</v>
      </c>
      <c r="B56" s="112" t="s">
        <v>53</v>
      </c>
      <c r="C56" s="208">
        <v>1.3899999999999999E-2</v>
      </c>
      <c r="D56" s="198">
        <f t="shared" ref="D56" si="0">C56*($D$11+$D$13)</f>
        <v>22.972529999999999</v>
      </c>
    </row>
    <row r="57" spans="1:6" x14ac:dyDescent="0.2">
      <c r="A57" s="206"/>
      <c r="B57" s="113" t="s">
        <v>54</v>
      </c>
      <c r="C57" s="206"/>
      <c r="D57" s="199"/>
      <c r="E57" s="164"/>
    </row>
    <row r="58" spans="1:6" x14ac:dyDescent="0.2">
      <c r="A58" s="206">
        <v>11</v>
      </c>
      <c r="B58" s="112" t="s">
        <v>55</v>
      </c>
      <c r="C58" s="208">
        <v>6.9999999999999999E-4</v>
      </c>
      <c r="D58" s="198">
        <f t="shared" ref="D58" si="1">C58*($D$11+$D$13)</f>
        <v>1.15689</v>
      </c>
      <c r="E58" s="164"/>
    </row>
    <row r="59" spans="1:6" x14ac:dyDescent="0.2">
      <c r="A59" s="206"/>
      <c r="B59" s="113" t="s">
        <v>56</v>
      </c>
      <c r="C59" s="206"/>
      <c r="D59" s="199"/>
    </row>
    <row r="60" spans="1:6" x14ac:dyDescent="0.2">
      <c r="A60" s="206">
        <v>12</v>
      </c>
      <c r="B60" s="96" t="s">
        <v>57</v>
      </c>
      <c r="C60" s="208">
        <v>2.0000000000000001E-4</v>
      </c>
      <c r="D60" s="198">
        <f t="shared" ref="D60" si="2">C60*($D$11+$D$13)</f>
        <v>0.33054</v>
      </c>
    </row>
    <row r="61" spans="1:6" x14ac:dyDescent="0.2">
      <c r="A61" s="206"/>
      <c r="B61" s="113" t="s">
        <v>58</v>
      </c>
      <c r="C61" s="206"/>
      <c r="D61" s="199"/>
      <c r="E61" s="164"/>
    </row>
    <row r="62" spans="1:6" x14ac:dyDescent="0.2">
      <c r="A62" s="206">
        <v>13</v>
      </c>
      <c r="B62" s="112" t="s">
        <v>59</v>
      </c>
      <c r="C62" s="208">
        <v>3.0000000000000001E-3</v>
      </c>
      <c r="D62" s="198">
        <f t="shared" ref="D62" si="3">C62*($D$11+$D$13)</f>
        <v>4.9581</v>
      </c>
      <c r="E62" s="164"/>
    </row>
    <row r="63" spans="1:6" x14ac:dyDescent="0.2">
      <c r="A63" s="206"/>
      <c r="B63" s="113" t="s">
        <v>60</v>
      </c>
      <c r="C63" s="206"/>
      <c r="D63" s="199"/>
    </row>
    <row r="64" spans="1:6" x14ac:dyDescent="0.2">
      <c r="A64" s="206">
        <v>14</v>
      </c>
      <c r="B64" s="112" t="s">
        <v>61</v>
      </c>
      <c r="C64" s="208">
        <v>2.9999999999999997E-4</v>
      </c>
      <c r="D64" s="198">
        <f t="shared" ref="D64" si="4">C64*($D$11+$D$13)</f>
        <v>0.49580999999999997</v>
      </c>
    </row>
    <row r="65" spans="1:5" x14ac:dyDescent="0.2">
      <c r="A65" s="206"/>
      <c r="B65" s="113" t="s">
        <v>63</v>
      </c>
      <c r="C65" s="206"/>
      <c r="D65" s="199"/>
      <c r="E65" s="164"/>
    </row>
    <row r="66" spans="1:5" ht="22.5" x14ac:dyDescent="0.2">
      <c r="A66" s="206">
        <v>15</v>
      </c>
      <c r="B66" s="112" t="s">
        <v>64</v>
      </c>
      <c r="C66" s="208">
        <v>1.1679999999999999E-2</v>
      </c>
      <c r="D66" s="198">
        <f>C66*($D$11+$D$13)</f>
        <v>19.303536000000001</v>
      </c>
    </row>
    <row r="67" spans="1:5" ht="26.25" customHeight="1" x14ac:dyDescent="0.2">
      <c r="A67" s="206"/>
      <c r="B67" s="113" t="s">
        <v>202</v>
      </c>
      <c r="C67" s="206"/>
      <c r="D67" s="199"/>
      <c r="E67" s="165"/>
    </row>
    <row r="68" spans="1:5" x14ac:dyDescent="0.2">
      <c r="A68" s="210">
        <v>16</v>
      </c>
      <c r="B68" s="112" t="s">
        <v>65</v>
      </c>
      <c r="C68" s="208">
        <v>8.3000000000000004E-2</v>
      </c>
      <c r="D68" s="198">
        <f>C68*($D$11+$D$13)</f>
        <v>137.17410000000001</v>
      </c>
    </row>
    <row r="69" spans="1:5" ht="22.5" x14ac:dyDescent="0.2">
      <c r="A69" s="210"/>
      <c r="B69" s="96" t="s">
        <v>66</v>
      </c>
      <c r="C69" s="206"/>
      <c r="D69" s="199"/>
      <c r="E69" s="162"/>
    </row>
    <row r="70" spans="1:5" x14ac:dyDescent="0.2">
      <c r="A70" s="207" t="s">
        <v>62</v>
      </c>
      <c r="B70" s="207"/>
      <c r="C70" s="160"/>
      <c r="D70" s="102">
        <f>SUM(D54:D69)</f>
        <v>369.84120600000006</v>
      </c>
    </row>
    <row r="73" spans="1:5" x14ac:dyDescent="0.2">
      <c r="A73" s="195" t="s">
        <v>67</v>
      </c>
      <c r="B73" s="195"/>
      <c r="C73" s="94" t="s">
        <v>23</v>
      </c>
      <c r="D73" s="111" t="s">
        <v>24</v>
      </c>
    </row>
    <row r="74" spans="1:5" x14ac:dyDescent="0.2">
      <c r="A74" s="215">
        <v>17</v>
      </c>
      <c r="B74" s="118" t="s">
        <v>68</v>
      </c>
      <c r="C74" s="209">
        <v>2.5000000000000001E-2</v>
      </c>
      <c r="D74" s="198">
        <f>C74*($D$11+$D$13)</f>
        <v>41.317500000000003</v>
      </c>
    </row>
    <row r="75" spans="1:5" x14ac:dyDescent="0.2">
      <c r="A75" s="216"/>
      <c r="B75" s="119" t="s">
        <v>69</v>
      </c>
      <c r="C75" s="210"/>
      <c r="D75" s="199"/>
      <c r="E75" s="162"/>
    </row>
    <row r="76" spans="1:5" x14ac:dyDescent="0.2">
      <c r="A76" s="206">
        <v>18</v>
      </c>
      <c r="B76" s="120" t="s">
        <v>70</v>
      </c>
      <c r="C76" s="211">
        <v>5.0000000000000001E-3</v>
      </c>
      <c r="D76" s="198">
        <f>C76*($D$11+$D$13)</f>
        <v>8.2635000000000005</v>
      </c>
    </row>
    <row r="77" spans="1:5" x14ac:dyDescent="0.2">
      <c r="A77" s="206"/>
      <c r="B77" s="119" t="s">
        <v>71</v>
      </c>
      <c r="C77" s="212"/>
      <c r="D77" s="199"/>
      <c r="E77" s="164"/>
    </row>
    <row r="78" spans="1:5" x14ac:dyDescent="0.2">
      <c r="A78" s="95">
        <v>19</v>
      </c>
      <c r="B78" s="121" t="s">
        <v>72</v>
      </c>
      <c r="C78" s="41"/>
      <c r="D78" s="88"/>
      <c r="E78" s="166"/>
    </row>
    <row r="79" spans="1:5" x14ac:dyDescent="0.2">
      <c r="A79" s="206" t="s">
        <v>73</v>
      </c>
      <c r="B79" s="221" t="s">
        <v>97</v>
      </c>
      <c r="C79" s="213">
        <v>3.2000000000000001E-2</v>
      </c>
      <c r="D79" s="198">
        <f>C79*($D$11+$D$13)</f>
        <v>52.886400000000002</v>
      </c>
    </row>
    <row r="80" spans="1:5" x14ac:dyDescent="0.2">
      <c r="A80" s="206"/>
      <c r="B80" s="196"/>
      <c r="C80" s="214"/>
      <c r="D80" s="199"/>
    </row>
    <row r="81" spans="1:5" x14ac:dyDescent="0.2">
      <c r="A81" s="206"/>
      <c r="B81" s="220" t="s">
        <v>96</v>
      </c>
      <c r="C81" s="213"/>
      <c r="D81" s="198">
        <f>C81*($D$11+$D$13)</f>
        <v>0</v>
      </c>
    </row>
    <row r="82" spans="1:5" x14ac:dyDescent="0.2">
      <c r="A82" s="206"/>
      <c r="B82" s="220"/>
      <c r="C82" s="214"/>
      <c r="D82" s="199"/>
      <c r="E82" s="164"/>
    </row>
    <row r="83" spans="1:5" x14ac:dyDescent="0.2">
      <c r="A83" s="207" t="s">
        <v>74</v>
      </c>
      <c r="B83" s="207"/>
      <c r="C83" s="160"/>
      <c r="D83" s="161">
        <f>SUM(D74:D82)</f>
        <v>102.4674</v>
      </c>
    </row>
    <row r="86" spans="1:5" x14ac:dyDescent="0.2">
      <c r="A86" s="204" t="s">
        <v>75</v>
      </c>
      <c r="B86" s="204"/>
      <c r="C86" s="111" t="s">
        <v>23</v>
      </c>
      <c r="D86" s="111" t="s">
        <v>24</v>
      </c>
    </row>
    <row r="87" spans="1:5" x14ac:dyDescent="0.2">
      <c r="A87" s="205">
        <v>20</v>
      </c>
      <c r="B87" s="197" t="s">
        <v>95</v>
      </c>
      <c r="C87" s="199"/>
      <c r="D87" s="199"/>
    </row>
    <row r="88" spans="1:5" x14ac:dyDescent="0.2">
      <c r="A88" s="205"/>
      <c r="B88" s="197"/>
      <c r="C88" s="199"/>
      <c r="D88" s="199"/>
    </row>
    <row r="91" spans="1:5" x14ac:dyDescent="0.2">
      <c r="A91" s="204" t="s">
        <v>76</v>
      </c>
      <c r="B91" s="204"/>
      <c r="C91" s="204"/>
      <c r="D91" s="123"/>
    </row>
    <row r="92" spans="1:5" x14ac:dyDescent="0.2">
      <c r="A92" s="205">
        <v>21</v>
      </c>
      <c r="B92" s="217" t="s">
        <v>77</v>
      </c>
      <c r="C92" s="217"/>
      <c r="D92" s="199"/>
    </row>
    <row r="93" spans="1:5" x14ac:dyDescent="0.2">
      <c r="A93" s="205"/>
      <c r="B93" s="218" t="s">
        <v>78</v>
      </c>
      <c r="C93" s="218"/>
      <c r="D93" s="199"/>
    </row>
    <row r="94" spans="1:5" x14ac:dyDescent="0.2">
      <c r="A94" s="219" t="s">
        <v>79</v>
      </c>
      <c r="B94" s="219"/>
      <c r="C94" s="111" t="s">
        <v>23</v>
      </c>
      <c r="D94" s="111" t="s">
        <v>24</v>
      </c>
    </row>
    <row r="95" spans="1:5" ht="15" customHeight="1" x14ac:dyDescent="0.2">
      <c r="A95" s="219"/>
      <c r="B95" s="219"/>
      <c r="C95" s="123"/>
      <c r="D95" s="124">
        <v>1100</v>
      </c>
    </row>
    <row r="98" spans="1:4" x14ac:dyDescent="0.2">
      <c r="A98" s="204" t="s">
        <v>80</v>
      </c>
      <c r="B98" s="204"/>
      <c r="C98" s="204"/>
      <c r="D98" s="204"/>
    </row>
    <row r="99" spans="1:4" x14ac:dyDescent="0.2">
      <c r="A99" s="205" t="s">
        <v>81</v>
      </c>
      <c r="B99" s="205"/>
      <c r="C99" s="205"/>
      <c r="D99" s="205"/>
    </row>
    <row r="100" spans="1:4" x14ac:dyDescent="0.2">
      <c r="A100" s="205" t="s">
        <v>82</v>
      </c>
      <c r="B100" s="205"/>
      <c r="C100" s="205"/>
      <c r="D100" s="167" t="s">
        <v>24</v>
      </c>
    </row>
    <row r="101" spans="1:4" x14ac:dyDescent="0.2">
      <c r="A101" s="227" t="s">
        <v>34</v>
      </c>
      <c r="B101" s="227"/>
      <c r="C101" s="227"/>
      <c r="D101" s="168"/>
    </row>
    <row r="102" spans="1:4" ht="15.75" customHeight="1" x14ac:dyDescent="0.2">
      <c r="A102" s="227" t="s">
        <v>83</v>
      </c>
      <c r="B102" s="227"/>
      <c r="C102" s="227"/>
      <c r="D102" s="168"/>
    </row>
    <row r="103" spans="1:4" ht="15.75" customHeight="1" x14ac:dyDescent="0.2">
      <c r="A103" s="227" t="s">
        <v>84</v>
      </c>
      <c r="B103" s="227"/>
      <c r="C103" s="227"/>
      <c r="D103" s="169">
        <f>D95+D29+D19+D36</f>
        <v>3305.18</v>
      </c>
    </row>
    <row r="105" spans="1:4" x14ac:dyDescent="0.2">
      <c r="A105" s="222" t="s">
        <v>85</v>
      </c>
      <c r="B105" s="222"/>
    </row>
    <row r="107" spans="1:4" x14ac:dyDescent="0.2">
      <c r="A107" s="223" t="s">
        <v>86</v>
      </c>
      <c r="B107" s="223"/>
      <c r="C107" s="111" t="s">
        <v>23</v>
      </c>
      <c r="D107" s="111" t="s">
        <v>24</v>
      </c>
    </row>
    <row r="108" spans="1:4" ht="22.5" customHeight="1" x14ac:dyDescent="0.2">
      <c r="A108" s="224" t="s">
        <v>87</v>
      </c>
      <c r="B108" s="224"/>
      <c r="C108" s="231">
        <v>0.05</v>
      </c>
      <c r="D108" s="238">
        <f>($D$103+$D$83+$D$70+$D$50+$D$36+$D$25+$D$24+$D$23+$D$22+$D$13+$D$11)*C108</f>
        <v>310.36293030000002</v>
      </c>
    </row>
    <row r="109" spans="1:4" x14ac:dyDescent="0.2">
      <c r="A109" s="225" t="s">
        <v>88</v>
      </c>
      <c r="B109" s="225"/>
      <c r="C109" s="232"/>
      <c r="D109" s="238"/>
    </row>
    <row r="110" spans="1:4" x14ac:dyDescent="0.2">
      <c r="A110" s="224" t="s">
        <v>89</v>
      </c>
      <c r="B110" s="224"/>
      <c r="C110" s="232"/>
      <c r="D110" s="238"/>
    </row>
    <row r="111" spans="1:4" ht="22.5" customHeight="1" x14ac:dyDescent="0.2">
      <c r="A111" s="226" t="s">
        <v>87</v>
      </c>
      <c r="B111" s="226"/>
      <c r="C111" s="233"/>
      <c r="D111" s="199"/>
    </row>
    <row r="112" spans="1:4" x14ac:dyDescent="0.2">
      <c r="A112" s="225" t="s">
        <v>88</v>
      </c>
      <c r="B112" s="225"/>
      <c r="C112" s="199"/>
      <c r="D112" s="199"/>
    </row>
    <row r="113" spans="1:4" x14ac:dyDescent="0.2">
      <c r="A113" s="224" t="s">
        <v>89</v>
      </c>
      <c r="B113" s="224"/>
      <c r="C113" s="199"/>
      <c r="D113" s="199"/>
    </row>
    <row r="114" spans="1:4" ht="24" customHeight="1" x14ac:dyDescent="0.2">
      <c r="A114" s="206" t="s">
        <v>7</v>
      </c>
      <c r="B114" s="197" t="s">
        <v>203</v>
      </c>
      <c r="C114" s="262">
        <v>0.02</v>
      </c>
      <c r="D114" s="263">
        <f>(D103)*C114</f>
        <v>66.1036</v>
      </c>
    </row>
    <row r="115" spans="1:4" x14ac:dyDescent="0.2">
      <c r="A115" s="206"/>
      <c r="B115" s="197"/>
      <c r="C115" s="259"/>
      <c r="D115" s="259"/>
    </row>
    <row r="116" spans="1:4" x14ac:dyDescent="0.2">
      <c r="A116" s="225" t="s">
        <v>92</v>
      </c>
      <c r="B116" s="225"/>
      <c r="C116" s="260"/>
      <c r="D116" s="261"/>
    </row>
    <row r="117" spans="1:4" x14ac:dyDescent="0.2">
      <c r="A117" s="225" t="s">
        <v>94</v>
      </c>
      <c r="B117" s="225"/>
      <c r="C117" s="261"/>
      <c r="D117" s="261"/>
    </row>
    <row r="118" spans="1:4" x14ac:dyDescent="0.2">
      <c r="A118" s="239" t="s">
        <v>93</v>
      </c>
      <c r="B118" s="239"/>
      <c r="C118" s="261"/>
      <c r="D118" s="261"/>
    </row>
    <row r="119" spans="1:4" x14ac:dyDescent="0.2">
      <c r="A119" s="95" t="s">
        <v>9</v>
      </c>
      <c r="B119" s="96" t="s">
        <v>90</v>
      </c>
      <c r="C119" s="170">
        <v>0.1</v>
      </c>
      <c r="D119" s="171">
        <f>(D103*C119)</f>
        <v>330.51800000000003</v>
      </c>
    </row>
    <row r="120" spans="1:4" x14ac:dyDescent="0.2">
      <c r="A120" s="240" t="s">
        <v>91</v>
      </c>
      <c r="B120" s="240"/>
      <c r="C120" s="160"/>
      <c r="D120" s="172">
        <f>D119+D114</f>
        <v>396.62160000000006</v>
      </c>
    </row>
    <row r="122" spans="1:4" x14ac:dyDescent="0.2">
      <c r="A122" s="222" t="s">
        <v>98</v>
      </c>
      <c r="B122" s="222"/>
    </row>
    <row r="124" spans="1:4" ht="15" customHeight="1" x14ac:dyDescent="0.2">
      <c r="A124" s="206" t="s">
        <v>110</v>
      </c>
      <c r="B124" s="206"/>
      <c r="C124" s="206"/>
      <c r="D124" s="206"/>
    </row>
    <row r="125" spans="1:4" ht="24" customHeight="1" x14ac:dyDescent="0.2">
      <c r="A125" s="206"/>
      <c r="B125" s="206"/>
      <c r="C125" s="206"/>
      <c r="D125" s="206"/>
    </row>
    <row r="126" spans="1:4" ht="15.75" customHeight="1" x14ac:dyDescent="0.2">
      <c r="A126" s="206" t="s">
        <v>99</v>
      </c>
      <c r="B126" s="206"/>
      <c r="C126" s="94" t="s">
        <v>23</v>
      </c>
      <c r="D126" s="131" t="s">
        <v>24</v>
      </c>
    </row>
    <row r="127" spans="1:4" x14ac:dyDescent="0.2">
      <c r="A127" s="101"/>
      <c r="B127" s="132" t="s">
        <v>101</v>
      </c>
      <c r="C127" s="170">
        <v>0.03</v>
      </c>
      <c r="D127" s="133">
        <f>($D$120+$D$103)*C127</f>
        <v>111.05404799999999</v>
      </c>
    </row>
    <row r="128" spans="1:4" x14ac:dyDescent="0.2">
      <c r="A128" s="134" t="s">
        <v>7</v>
      </c>
      <c r="B128" s="135" t="s">
        <v>102</v>
      </c>
      <c r="C128" s="136">
        <v>6.4999999999999997E-3</v>
      </c>
      <c r="D128" s="133">
        <f>($D$120+$D$103)*C128</f>
        <v>24.061710399999999</v>
      </c>
    </row>
    <row r="129" spans="1:4" ht="23.25" customHeight="1" x14ac:dyDescent="0.2">
      <c r="A129" s="137" t="s">
        <v>100</v>
      </c>
      <c r="B129" s="206" t="s">
        <v>109</v>
      </c>
      <c r="C129" s="258">
        <v>1.4999999999999999E-2</v>
      </c>
      <c r="D129" s="230">
        <f>(D120+D103)*C129</f>
        <v>55.527023999999997</v>
      </c>
    </row>
    <row r="130" spans="1:4" ht="12.75" customHeight="1" x14ac:dyDescent="0.2">
      <c r="A130" s="173"/>
      <c r="B130" s="206"/>
      <c r="C130" s="259"/>
      <c r="D130" s="230"/>
    </row>
    <row r="131" spans="1:4" ht="15.75" customHeight="1" x14ac:dyDescent="0.2">
      <c r="A131" s="139" t="s">
        <v>9</v>
      </c>
      <c r="B131" s="96" t="s">
        <v>104</v>
      </c>
      <c r="C131" s="170"/>
      <c r="D131" s="41"/>
    </row>
    <row r="132" spans="1:4" ht="26.25" customHeight="1" x14ac:dyDescent="0.2">
      <c r="A132" s="137" t="s">
        <v>103</v>
      </c>
      <c r="B132" s="96" t="s">
        <v>105</v>
      </c>
      <c r="C132" s="170">
        <v>0.05</v>
      </c>
      <c r="D132" s="133">
        <f>($D$120+$D$103)*C132</f>
        <v>185.09008</v>
      </c>
    </row>
    <row r="133" spans="1:4" x14ac:dyDescent="0.2">
      <c r="A133" s="94" t="s">
        <v>11</v>
      </c>
      <c r="B133" s="140" t="s">
        <v>106</v>
      </c>
      <c r="C133" s="160"/>
      <c r="D133" s="41"/>
    </row>
    <row r="134" spans="1:4" ht="15.75" customHeight="1" x14ac:dyDescent="0.2">
      <c r="A134" s="248" t="s">
        <v>107</v>
      </c>
      <c r="B134" s="249"/>
      <c r="C134" s="141">
        <f>D134/(D120+D103)</f>
        <v>0.10150000000000001</v>
      </c>
      <c r="D134" s="142">
        <f>SUM(D127:D133)</f>
        <v>375.73286239999999</v>
      </c>
    </row>
    <row r="135" spans="1:4" ht="15.75" customHeight="1" x14ac:dyDescent="0.2">
      <c r="A135" s="206" t="s">
        <v>108</v>
      </c>
      <c r="B135" s="143" t="s">
        <v>111</v>
      </c>
      <c r="C135" s="247"/>
      <c r="D135" s="247"/>
    </row>
    <row r="136" spans="1:4" x14ac:dyDescent="0.2">
      <c r="A136" s="206"/>
      <c r="B136" s="174" t="s">
        <v>112</v>
      </c>
      <c r="C136" s="247"/>
      <c r="D136" s="247"/>
    </row>
    <row r="139" spans="1:4" x14ac:dyDescent="0.2">
      <c r="A139" s="175" t="s">
        <v>235</v>
      </c>
      <c r="B139" s="176"/>
      <c r="C139" s="176"/>
      <c r="D139" s="176"/>
    </row>
    <row r="140" spans="1:4" x14ac:dyDescent="0.2">
      <c r="A140" s="175"/>
      <c r="B140" s="176"/>
      <c r="C140" s="176"/>
      <c r="D140" s="176"/>
    </row>
    <row r="141" spans="1:4" x14ac:dyDescent="0.2">
      <c r="A141" s="95" t="s">
        <v>114</v>
      </c>
      <c r="B141" s="250" t="s">
        <v>115</v>
      </c>
      <c r="C141" s="250"/>
      <c r="D141" s="147" t="s">
        <v>116</v>
      </c>
    </row>
    <row r="142" spans="1:4" x14ac:dyDescent="0.2">
      <c r="A142" s="95" t="s">
        <v>7</v>
      </c>
      <c r="B142" s="96" t="s">
        <v>117</v>
      </c>
      <c r="C142" s="41"/>
      <c r="D142" s="148">
        <f>D19+D29</f>
        <v>2162.6999999999998</v>
      </c>
    </row>
    <row r="143" spans="1:4" x14ac:dyDescent="0.2">
      <c r="A143" s="95" t="s">
        <v>9</v>
      </c>
      <c r="B143" s="96" t="s">
        <v>118</v>
      </c>
      <c r="C143" s="96" t="s">
        <v>23</v>
      </c>
      <c r="D143" s="148">
        <f>D95</f>
        <v>1100</v>
      </c>
    </row>
    <row r="144" spans="1:4" x14ac:dyDescent="0.2">
      <c r="A144" s="95" t="s">
        <v>11</v>
      </c>
      <c r="B144" s="96" t="s">
        <v>119</v>
      </c>
      <c r="C144" s="41"/>
      <c r="D144" s="148">
        <f>D36</f>
        <v>42.48</v>
      </c>
    </row>
    <row r="145" spans="1:4" x14ac:dyDescent="0.2">
      <c r="A145" s="95" t="s">
        <v>13</v>
      </c>
      <c r="B145" s="96" t="s">
        <v>120</v>
      </c>
      <c r="C145" s="41"/>
      <c r="D145" s="148">
        <f>SUM(D142:D144)</f>
        <v>3305.18</v>
      </c>
    </row>
    <row r="146" spans="1:4" x14ac:dyDescent="0.2">
      <c r="A146" s="41"/>
      <c r="B146" s="96" t="s">
        <v>121</v>
      </c>
      <c r="C146" s="41"/>
      <c r="D146" s="149">
        <f>D145+D134</f>
        <v>3680.9128624</v>
      </c>
    </row>
    <row r="147" spans="1:4" x14ac:dyDescent="0.2">
      <c r="A147" s="150"/>
      <c r="B147" s="176"/>
      <c r="C147" s="176"/>
      <c r="D147" s="176"/>
    </row>
    <row r="148" spans="1:4" ht="57.75" customHeight="1" x14ac:dyDescent="0.2">
      <c r="A148" s="257" t="s">
        <v>236</v>
      </c>
      <c r="B148" s="257"/>
      <c r="C148" s="257"/>
      <c r="D148" s="257"/>
    </row>
    <row r="149" spans="1:4" ht="46.5" customHeight="1" x14ac:dyDescent="0.2">
      <c r="A149" s="255" t="s">
        <v>237</v>
      </c>
      <c r="B149" s="255"/>
      <c r="C149" s="255"/>
      <c r="D149" s="255"/>
    </row>
    <row r="150" spans="1:4" ht="76.5" customHeight="1" x14ac:dyDescent="0.2">
      <c r="A150" s="256" t="s">
        <v>238</v>
      </c>
      <c r="B150" s="256"/>
      <c r="C150" s="256"/>
      <c r="D150" s="256"/>
    </row>
    <row r="153" spans="1:4" x14ac:dyDescent="0.2">
      <c r="A153" s="151" t="s">
        <v>125</v>
      </c>
      <c r="B153" s="176"/>
      <c r="C153" s="176"/>
    </row>
    <row r="154" spans="1:4" x14ac:dyDescent="0.2">
      <c r="A154" s="150"/>
      <c r="B154" s="176"/>
      <c r="C154" s="176"/>
    </row>
    <row r="155" spans="1:4" ht="15" customHeight="1" x14ac:dyDescent="0.2">
      <c r="A155" s="241" t="s">
        <v>126</v>
      </c>
      <c r="B155" s="242"/>
      <c r="C155" s="243"/>
      <c r="D155" s="41"/>
    </row>
    <row r="156" spans="1:4" x14ac:dyDescent="0.2">
      <c r="A156" s="41"/>
      <c r="B156" s="241" t="s">
        <v>127</v>
      </c>
      <c r="C156" s="243"/>
      <c r="D156" s="152" t="s">
        <v>128</v>
      </c>
    </row>
    <row r="157" spans="1:4" x14ac:dyDescent="0.2">
      <c r="A157" s="95" t="s">
        <v>7</v>
      </c>
      <c r="B157" s="245" t="s">
        <v>129</v>
      </c>
      <c r="C157" s="246"/>
      <c r="D157" s="148">
        <f>D142</f>
        <v>2162.6999999999998</v>
      </c>
    </row>
    <row r="158" spans="1:4" x14ac:dyDescent="0.2">
      <c r="A158" s="95" t="s">
        <v>9</v>
      </c>
      <c r="B158" s="245" t="s">
        <v>130</v>
      </c>
      <c r="C158" s="246"/>
      <c r="D158" s="148">
        <f>D144</f>
        <v>42.48</v>
      </c>
    </row>
    <row r="159" spans="1:4" x14ac:dyDescent="0.2">
      <c r="A159" s="95" t="s">
        <v>11</v>
      </c>
      <c r="B159" s="245" t="s">
        <v>131</v>
      </c>
      <c r="C159" s="246"/>
      <c r="D159" s="133">
        <f>D134</f>
        <v>375.73286239999999</v>
      </c>
    </row>
    <row r="160" spans="1:4" x14ac:dyDescent="0.2">
      <c r="A160" s="95" t="s">
        <v>13</v>
      </c>
      <c r="B160" s="245" t="s">
        <v>99</v>
      </c>
      <c r="C160" s="246"/>
      <c r="D160" s="148">
        <f>D143</f>
        <v>1100</v>
      </c>
    </row>
    <row r="161" spans="1:4" x14ac:dyDescent="0.2">
      <c r="A161" s="95" t="s">
        <v>15</v>
      </c>
      <c r="B161" s="245" t="s">
        <v>132</v>
      </c>
      <c r="C161" s="246"/>
      <c r="D161" s="148">
        <f>SUM(D157:D160)</f>
        <v>3680.9128624</v>
      </c>
    </row>
    <row r="162" spans="1:4" ht="24" customHeight="1" x14ac:dyDescent="0.2">
      <c r="A162" s="95" t="s">
        <v>17</v>
      </c>
      <c r="B162" s="245" t="s">
        <v>133</v>
      </c>
      <c r="C162" s="246"/>
      <c r="D162" s="148">
        <f>D161/211200</f>
        <v>1.7428564689393938E-2</v>
      </c>
    </row>
    <row r="163" spans="1:4" x14ac:dyDescent="0.2">
      <c r="A163" s="95" t="s">
        <v>19</v>
      </c>
      <c r="B163" s="245" t="s">
        <v>134</v>
      </c>
      <c r="C163" s="246"/>
      <c r="D163" s="153">
        <v>8490</v>
      </c>
    </row>
    <row r="164" spans="1:4" ht="24" customHeight="1" x14ac:dyDescent="0.2">
      <c r="A164" s="95" t="s">
        <v>21</v>
      </c>
      <c r="B164" s="245" t="s">
        <v>135</v>
      </c>
      <c r="C164" s="246"/>
      <c r="D164" s="154">
        <f>(D163*D162)/2340</f>
        <v>6.3234407783313906E-2</v>
      </c>
    </row>
    <row r="167" spans="1:4" ht="15.75" customHeight="1" x14ac:dyDescent="0.2">
      <c r="A167" s="254" t="s">
        <v>226</v>
      </c>
      <c r="B167" s="254"/>
      <c r="C167" s="254"/>
      <c r="D167" s="254"/>
    </row>
    <row r="168" spans="1:4" ht="30" customHeight="1" x14ac:dyDescent="0.2">
      <c r="A168" s="254"/>
      <c r="B168" s="254"/>
      <c r="C168" s="254"/>
      <c r="D168" s="254"/>
    </row>
    <row r="170" spans="1:4" ht="31.5" customHeight="1" x14ac:dyDescent="0.2">
      <c r="A170" s="253"/>
      <c r="B170" s="253"/>
      <c r="C170" s="253"/>
      <c r="D170" s="253"/>
    </row>
    <row r="171" spans="1:4" ht="33.75" customHeight="1" x14ac:dyDescent="0.2">
      <c r="A171" s="253"/>
      <c r="B171" s="253"/>
      <c r="C171" s="253"/>
      <c r="D171" s="253"/>
    </row>
    <row r="172" spans="1:4" ht="33" customHeight="1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</sheetData>
  <mergeCells count="138">
    <mergeCell ref="A1:B1"/>
    <mergeCell ref="A2:C2"/>
    <mergeCell ref="B3:C3"/>
    <mergeCell ref="A4:C4"/>
    <mergeCell ref="A5:C5"/>
    <mergeCell ref="A6:C6"/>
    <mergeCell ref="B25:C25"/>
    <mergeCell ref="B26:C26"/>
    <mergeCell ref="B27:C27"/>
    <mergeCell ref="B28:C28"/>
    <mergeCell ref="A31:C31"/>
    <mergeCell ref="B32:C32"/>
    <mergeCell ref="A8:D8"/>
    <mergeCell ref="A10:B10"/>
    <mergeCell ref="A21:C21"/>
    <mergeCell ref="B22:C22"/>
    <mergeCell ref="B23:C23"/>
    <mergeCell ref="B24:C24"/>
    <mergeCell ref="B33:C33"/>
    <mergeCell ref="B34:C34"/>
    <mergeCell ref="B35:C35"/>
    <mergeCell ref="A36:C36"/>
    <mergeCell ref="A37:D37"/>
    <mergeCell ref="A40:B40"/>
    <mergeCell ref="C40:C41"/>
    <mergeCell ref="D40:D41"/>
    <mergeCell ref="A41:B41"/>
    <mergeCell ref="A58:A59"/>
    <mergeCell ref="C58:C59"/>
    <mergeCell ref="D58:D59"/>
    <mergeCell ref="A60:A61"/>
    <mergeCell ref="C60:C61"/>
    <mergeCell ref="D60:D61"/>
    <mergeCell ref="A50:B50"/>
    <mergeCell ref="A53:B53"/>
    <mergeCell ref="A54:A55"/>
    <mergeCell ref="C54:C55"/>
    <mergeCell ref="D54:D55"/>
    <mergeCell ref="A56:A57"/>
    <mergeCell ref="C56:C57"/>
    <mergeCell ref="D56:D57"/>
    <mergeCell ref="A66:A67"/>
    <mergeCell ref="C66:C67"/>
    <mergeCell ref="D66:D67"/>
    <mergeCell ref="A68:A69"/>
    <mergeCell ref="C68:C69"/>
    <mergeCell ref="D68:D69"/>
    <mergeCell ref="A62:A63"/>
    <mergeCell ref="C62:C63"/>
    <mergeCell ref="D62:D63"/>
    <mergeCell ref="A64:A65"/>
    <mergeCell ref="C64:C65"/>
    <mergeCell ref="D64:D65"/>
    <mergeCell ref="A79:A82"/>
    <mergeCell ref="B79:B80"/>
    <mergeCell ref="C79:C80"/>
    <mergeCell ref="D79:D80"/>
    <mergeCell ref="B81:B82"/>
    <mergeCell ref="C81:C82"/>
    <mergeCell ref="D81:D82"/>
    <mergeCell ref="A70:B70"/>
    <mergeCell ref="A73:B73"/>
    <mergeCell ref="A74:A75"/>
    <mergeCell ref="C74:C75"/>
    <mergeCell ref="D74:D75"/>
    <mergeCell ref="A76:A77"/>
    <mergeCell ref="C76:C77"/>
    <mergeCell ref="D76:D77"/>
    <mergeCell ref="A91:C91"/>
    <mergeCell ref="A92:A93"/>
    <mergeCell ref="B92:C92"/>
    <mergeCell ref="D92:D93"/>
    <mergeCell ref="B93:C93"/>
    <mergeCell ref="A94:B95"/>
    <mergeCell ref="A83:B83"/>
    <mergeCell ref="A86:B86"/>
    <mergeCell ref="A87:A88"/>
    <mergeCell ref="B87:B88"/>
    <mergeCell ref="C87:C88"/>
    <mergeCell ref="D87:D88"/>
    <mergeCell ref="A105:B105"/>
    <mergeCell ref="A107:B107"/>
    <mergeCell ref="A108:B108"/>
    <mergeCell ref="C108:C110"/>
    <mergeCell ref="D108:D110"/>
    <mergeCell ref="A109:B109"/>
    <mergeCell ref="A110:B110"/>
    <mergeCell ref="A98:D98"/>
    <mergeCell ref="A99:D99"/>
    <mergeCell ref="A100:C100"/>
    <mergeCell ref="A101:C101"/>
    <mergeCell ref="A102:C102"/>
    <mergeCell ref="A103:C103"/>
    <mergeCell ref="A111:B111"/>
    <mergeCell ref="C111:C113"/>
    <mergeCell ref="D111:D113"/>
    <mergeCell ref="A112:B112"/>
    <mergeCell ref="A113:B113"/>
    <mergeCell ref="A114:A115"/>
    <mergeCell ref="B114:B115"/>
    <mergeCell ref="C114:C115"/>
    <mergeCell ref="D114:D115"/>
    <mergeCell ref="A122:B122"/>
    <mergeCell ref="A124:C125"/>
    <mergeCell ref="D124:D125"/>
    <mergeCell ref="A126:B126"/>
    <mergeCell ref="B129:B130"/>
    <mergeCell ref="C129:C130"/>
    <mergeCell ref="D129:D130"/>
    <mergeCell ref="A116:B116"/>
    <mergeCell ref="C116:C118"/>
    <mergeCell ref="D116:D118"/>
    <mergeCell ref="A117:B117"/>
    <mergeCell ref="A118:B118"/>
    <mergeCell ref="A120:B120"/>
    <mergeCell ref="A149:D149"/>
    <mergeCell ref="A150:D150"/>
    <mergeCell ref="A155:C155"/>
    <mergeCell ref="B156:C156"/>
    <mergeCell ref="B157:C157"/>
    <mergeCell ref="B158:C158"/>
    <mergeCell ref="A134:B134"/>
    <mergeCell ref="A135:A136"/>
    <mergeCell ref="C135:C136"/>
    <mergeCell ref="D135:D136"/>
    <mergeCell ref="B141:C141"/>
    <mergeCell ref="A148:D148"/>
    <mergeCell ref="A167:D168"/>
    <mergeCell ref="A170:D170"/>
    <mergeCell ref="A171:D171"/>
    <mergeCell ref="A172:D172"/>
    <mergeCell ref="A173:D174"/>
    <mergeCell ref="B159:C159"/>
    <mergeCell ref="B160:C160"/>
    <mergeCell ref="B161:C161"/>
    <mergeCell ref="B162:C162"/>
    <mergeCell ref="B163:C163"/>
    <mergeCell ref="B164:C16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G25"/>
  <sheetViews>
    <sheetView topLeftCell="A4" zoomScale="140" zoomScaleNormal="140" workbookViewId="0">
      <selection activeCell="D10" sqref="D10"/>
    </sheetView>
  </sheetViews>
  <sheetFormatPr defaultRowHeight="15" x14ac:dyDescent="0.25"/>
  <cols>
    <col min="1" max="1" width="21.42578125" style="5" customWidth="1"/>
    <col min="2" max="2" width="49.42578125" style="5" customWidth="1"/>
    <col min="3" max="3" width="9.85546875" style="5" customWidth="1"/>
    <col min="4" max="4" width="14" style="44" bestFit="1" customWidth="1"/>
    <col min="5" max="16384" width="9.140625" style="5"/>
  </cols>
  <sheetData>
    <row r="1" spans="1:7" x14ac:dyDescent="0.25">
      <c r="A1" s="268" t="s">
        <v>137</v>
      </c>
      <c r="B1" s="268"/>
      <c r="C1" s="268"/>
      <c r="D1" s="268"/>
    </row>
    <row r="2" spans="1:7" x14ac:dyDescent="0.25">
      <c r="A2" s="268" t="s">
        <v>138</v>
      </c>
      <c r="B2" s="268"/>
      <c r="C2" s="268"/>
      <c r="D2" s="268"/>
    </row>
    <row r="3" spans="1:7" x14ac:dyDescent="0.25">
      <c r="A3" s="268" t="s">
        <v>139</v>
      </c>
      <c r="B3" s="268"/>
      <c r="C3" s="27" t="s">
        <v>140</v>
      </c>
      <c r="D3" s="1">
        <v>1</v>
      </c>
    </row>
    <row r="4" spans="1:7" x14ac:dyDescent="0.25">
      <c r="A4" s="269" t="s">
        <v>141</v>
      </c>
      <c r="B4" s="269"/>
      <c r="C4" s="27" t="s">
        <v>140</v>
      </c>
      <c r="D4" s="1">
        <v>1</v>
      </c>
    </row>
    <row r="5" spans="1:7" x14ac:dyDescent="0.25">
      <c r="A5" s="269" t="s">
        <v>142</v>
      </c>
      <c r="B5" s="269"/>
      <c r="C5" s="27" t="s">
        <v>140</v>
      </c>
      <c r="D5" s="1">
        <v>1</v>
      </c>
    </row>
    <row r="6" spans="1:7" x14ac:dyDescent="0.25">
      <c r="A6" s="269" t="s">
        <v>143</v>
      </c>
      <c r="B6" s="269"/>
      <c r="C6" s="27" t="s">
        <v>144</v>
      </c>
      <c r="D6" s="56">
        <v>250000</v>
      </c>
    </row>
    <row r="7" spans="1:7" x14ac:dyDescent="0.25">
      <c r="A7" s="269" t="s">
        <v>145</v>
      </c>
      <c r="B7" s="269"/>
      <c r="C7" s="27" t="s">
        <v>144</v>
      </c>
      <c r="D7" s="56">
        <v>55000</v>
      </c>
    </row>
    <row r="8" spans="1:7" x14ac:dyDescent="0.25">
      <c r="A8" s="269" t="s">
        <v>146</v>
      </c>
      <c r="B8" s="269"/>
      <c r="C8" s="27" t="s">
        <v>147</v>
      </c>
      <c r="D8" s="1">
        <v>120</v>
      </c>
    </row>
    <row r="9" spans="1:7" x14ac:dyDescent="0.25">
      <c r="A9" s="269" t="s">
        <v>148</v>
      </c>
      <c r="B9" s="269"/>
      <c r="C9" s="27" t="s">
        <v>149</v>
      </c>
      <c r="D9" s="180">
        <v>1600</v>
      </c>
    </row>
    <row r="10" spans="1:7" x14ac:dyDescent="0.25">
      <c r="A10" s="269" t="s">
        <v>207</v>
      </c>
      <c r="B10" s="269"/>
      <c r="C10" s="27" t="s">
        <v>151</v>
      </c>
      <c r="D10" s="58">
        <f>0.05*D9</f>
        <v>80</v>
      </c>
    </row>
    <row r="11" spans="1:7" x14ac:dyDescent="0.25">
      <c r="A11" s="269" t="s">
        <v>204</v>
      </c>
      <c r="B11" s="269"/>
      <c r="C11" s="27" t="s">
        <v>153</v>
      </c>
      <c r="D11" s="59"/>
      <c r="G11" s="57"/>
    </row>
    <row r="12" spans="1:7" x14ac:dyDescent="0.25">
      <c r="A12" s="269" t="s">
        <v>206</v>
      </c>
      <c r="B12" s="269"/>
      <c r="C12" s="60" t="s">
        <v>205</v>
      </c>
      <c r="D12" s="182">
        <f>(D9/3)*6.2</f>
        <v>3306.666666666667</v>
      </c>
    </row>
    <row r="13" spans="1:7" x14ac:dyDescent="0.25">
      <c r="A13" s="269" t="s">
        <v>154</v>
      </c>
      <c r="B13" s="269"/>
      <c r="C13" s="60" t="s">
        <v>205</v>
      </c>
      <c r="D13" s="56">
        <v>3500</v>
      </c>
    </row>
    <row r="14" spans="1:7" x14ac:dyDescent="0.25">
      <c r="A14" s="269" t="s">
        <v>155</v>
      </c>
      <c r="B14" s="269"/>
      <c r="C14" s="60" t="s">
        <v>208</v>
      </c>
      <c r="D14" s="56">
        <f>8000/12</f>
        <v>666.66666666666663</v>
      </c>
    </row>
    <row r="15" spans="1:7" x14ac:dyDescent="0.25">
      <c r="A15" s="269" t="s">
        <v>156</v>
      </c>
      <c r="B15" s="269"/>
      <c r="C15" s="60" t="s">
        <v>205</v>
      </c>
      <c r="D15" s="56">
        <f>174/12</f>
        <v>14.5</v>
      </c>
    </row>
    <row r="16" spans="1:7" x14ac:dyDescent="0.25">
      <c r="A16" s="269" t="s">
        <v>36</v>
      </c>
      <c r="B16" s="269"/>
      <c r="C16" s="1"/>
      <c r="D16" s="1"/>
    </row>
    <row r="17" spans="1:4" x14ac:dyDescent="0.25">
      <c r="A17" s="269" t="s">
        <v>212</v>
      </c>
      <c r="B17" s="269"/>
      <c r="C17" s="1"/>
      <c r="D17" s="56">
        <f>((((D15+D14+D13+D12+D10)/10000)*4000)/10915)</f>
        <v>0.27733699801496414</v>
      </c>
    </row>
    <row r="18" spans="1:4" x14ac:dyDescent="0.25">
      <c r="A18" s="269" t="s">
        <v>158</v>
      </c>
      <c r="B18" s="269"/>
      <c r="C18" s="1"/>
      <c r="D18" s="1"/>
    </row>
    <row r="19" spans="1:4" x14ac:dyDescent="0.25">
      <c r="A19" s="269" t="s">
        <v>159</v>
      </c>
      <c r="B19" s="269"/>
      <c r="C19" s="1"/>
      <c r="D19" s="1"/>
    </row>
    <row r="21" spans="1:4" ht="31.5" customHeight="1" x14ac:dyDescent="0.25">
      <c r="A21" s="270"/>
      <c r="B21" s="270"/>
      <c r="C21" s="270"/>
      <c r="D21" s="270"/>
    </row>
    <row r="22" spans="1:4" ht="33.75" customHeight="1" x14ac:dyDescent="0.25">
      <c r="A22" s="270"/>
      <c r="B22" s="270"/>
      <c r="C22" s="270"/>
      <c r="D22" s="270"/>
    </row>
    <row r="23" spans="1:4" ht="33" customHeight="1" x14ac:dyDescent="0.25">
      <c r="A23" s="270"/>
      <c r="B23" s="270"/>
      <c r="C23" s="270"/>
      <c r="D23" s="270"/>
    </row>
    <row r="24" spans="1:4" x14ac:dyDescent="0.25">
      <c r="A24" s="270"/>
      <c r="B24" s="270"/>
      <c r="C24" s="270"/>
      <c r="D24" s="270"/>
    </row>
    <row r="25" spans="1:4" x14ac:dyDescent="0.25">
      <c r="A25" s="270"/>
      <c r="B25" s="270"/>
      <c r="C25" s="270"/>
      <c r="D25" s="270"/>
    </row>
  </sheetData>
  <mergeCells count="23">
    <mergeCell ref="A23:D23"/>
    <mergeCell ref="A24:D25"/>
    <mergeCell ref="A21:D21"/>
    <mergeCell ref="A22:D22"/>
    <mergeCell ref="A17:B17"/>
    <mergeCell ref="A18:B18"/>
    <mergeCell ref="A19:B19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:D1"/>
    <mergeCell ref="A2:D2"/>
    <mergeCell ref="A3:B3"/>
    <mergeCell ref="A4:B4"/>
    <mergeCell ref="A5:B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Resumo Total</vt:lpstr>
      <vt:lpstr>Motorista</vt:lpstr>
      <vt:lpstr>Serviços Gerais</vt:lpstr>
      <vt:lpstr>Operador de Caldeira</vt:lpstr>
      <vt:lpstr>Auxiliar de Serviços Gerais</vt:lpstr>
      <vt:lpstr>Coordenador Comercial</vt:lpstr>
      <vt:lpstr>Eng. Sanitarista</vt:lpstr>
      <vt:lpstr>Assist. Juridico</vt:lpstr>
      <vt:lpstr>Caminhão Coleta</vt:lpstr>
      <vt:lpstr>Caminhão Disp. Fin (2)</vt:lpstr>
      <vt:lpstr>Usina de Tratamento</vt:lpstr>
      <vt:lpstr>Aterro e Descarte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</dc:creator>
  <cp:lastModifiedBy>Kelly Gonçalves</cp:lastModifiedBy>
  <cp:lastPrinted>2020-06-23T19:50:29Z</cp:lastPrinted>
  <dcterms:created xsi:type="dcterms:W3CDTF">2018-12-12T16:03:06Z</dcterms:created>
  <dcterms:modified xsi:type="dcterms:W3CDTF">2023-01-06T13:46:03Z</dcterms:modified>
</cp:coreProperties>
</file>